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aspe\OneDrive\Desktop\"/>
    </mc:Choice>
  </mc:AlternateContent>
  <xr:revisionPtr revIDLastSave="0" documentId="13_ncr:1_{08ADCB76-5D48-4B32-8C03-19ACA83249F5}" xr6:coauthVersionLast="47" xr6:coauthVersionMax="47" xr10:uidLastSave="{00000000-0000-0000-0000-000000000000}"/>
  <bookViews>
    <workbookView xWindow="3465" yWindow="3465" windowWidth="23550" windowHeight="10500" xr2:uid="{63AE1755-85A1-46B0-9BE5-2A3CA45685AB}"/>
  </bookViews>
  <sheets>
    <sheet name="Title page" sheetId="1" r:id="rId1"/>
    <sheet name="Revenue Build" sheetId="3" r:id="rId2"/>
    <sheet name="FS" sheetId="2" r:id="rId3"/>
    <sheet name="DCF" sheetId="5" r:id="rId4"/>
    <sheet name="TSA Flight Data" sheetId="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F30" i="1"/>
  <c r="D30" i="1"/>
  <c r="C30" i="1"/>
  <c r="D47" i="5"/>
  <c r="AG45" i="2"/>
  <c r="AG46" i="2" s="1"/>
  <c r="AG43" i="2"/>
  <c r="AE157" i="2"/>
  <c r="AE155" i="2"/>
  <c r="AE154" i="2"/>
  <c r="AE152" i="2"/>
  <c r="AE151" i="2"/>
  <c r="AE150" i="2"/>
  <c r="AE140" i="2"/>
  <c r="AE138" i="2"/>
  <c r="AE131" i="2"/>
  <c r="AE132" i="2"/>
  <c r="AE133" i="2"/>
  <c r="AE134" i="2"/>
  <c r="AE136" i="2"/>
  <c r="AE135" i="2" s="1"/>
  <c r="AE190" i="2"/>
  <c r="AE183" i="2"/>
  <c r="AE185" i="2"/>
  <c r="AE128" i="2" s="1"/>
  <c r="AE126" i="2"/>
  <c r="AE125" i="2"/>
  <c r="AE124" i="2"/>
  <c r="AE121" i="2"/>
  <c r="U181" i="2"/>
  <c r="T181" i="2"/>
  <c r="S181" i="2"/>
  <c r="R181" i="2"/>
  <c r="P181" i="2"/>
  <c r="O181" i="2"/>
  <c r="N181" i="2"/>
  <c r="M181" i="2"/>
  <c r="K181" i="2"/>
  <c r="J181" i="2"/>
  <c r="I181" i="2"/>
  <c r="H181" i="2"/>
  <c r="F181" i="2"/>
  <c r="E181" i="2"/>
  <c r="D181" i="2"/>
  <c r="C181" i="2"/>
  <c r="U180" i="2"/>
  <c r="T180" i="2"/>
  <c r="S180" i="2"/>
  <c r="R180" i="2"/>
  <c r="P180" i="2"/>
  <c r="O180" i="2"/>
  <c r="N180" i="2"/>
  <c r="M180" i="2"/>
  <c r="K180" i="2"/>
  <c r="J180" i="2"/>
  <c r="I180" i="2"/>
  <c r="H180" i="2"/>
  <c r="F180" i="2"/>
  <c r="E180" i="2"/>
  <c r="D180" i="2"/>
  <c r="C180" i="2"/>
  <c r="AE166" i="2"/>
  <c r="AE174" i="2" s="1"/>
  <c r="AE120" i="2" s="1"/>
  <c r="AE127" i="2" l="1"/>
  <c r="AE117" i="2" l="1"/>
  <c r="AE116" i="2"/>
  <c r="AE86" i="2"/>
  <c r="AE56" i="2"/>
  <c r="AF22" i="2"/>
  <c r="AE10" i="3"/>
  <c r="AG94" i="3"/>
  <c r="AE98" i="3"/>
  <c r="AE89" i="3"/>
  <c r="AE84" i="3"/>
  <c r="AE82" i="3"/>
  <c r="AE80" i="3"/>
  <c r="AE76" i="3"/>
  <c r="AE70" i="3"/>
  <c r="AE68" i="3"/>
  <c r="AE66" i="3"/>
  <c r="AE64" i="3"/>
  <c r="AE62" i="3"/>
  <c r="AE57" i="3"/>
  <c r="AE43" i="3"/>
  <c r="AE42" i="3"/>
  <c r="AE25" i="3"/>
  <c r="AE23" i="3"/>
  <c r="AE19" i="3"/>
  <c r="AE18" i="3"/>
  <c r="AE17" i="3"/>
  <c r="AE15" i="3"/>
  <c r="AA37" i="3"/>
  <c r="AJ41" i="3"/>
  <c r="D44" i="5"/>
  <c r="D30" i="5"/>
  <c r="D33" i="5" s="1"/>
  <c r="D26" i="5" s="1"/>
  <c r="Q21" i="5" s="1"/>
  <c r="AD120" i="2"/>
  <c r="AD157" i="2" s="1"/>
  <c r="L16" i="5"/>
  <c r="M16" i="5"/>
  <c r="N16" i="5"/>
  <c r="O16" i="5"/>
  <c r="P16" i="5"/>
  <c r="Q16" i="5"/>
  <c r="K16" i="5"/>
  <c r="Z120" i="2"/>
  <c r="D38" i="5" l="1"/>
  <c r="AB120" i="2"/>
  <c r="W120" i="2"/>
  <c r="J21" i="5"/>
  <c r="K21" i="5"/>
  <c r="L21" i="5"/>
  <c r="M21" i="5"/>
  <c r="N21" i="5"/>
  <c r="O21" i="5"/>
  <c r="P21" i="5"/>
  <c r="AG103" i="2"/>
  <c r="AH103" i="2" s="1"/>
  <c r="AI103" i="2" s="1"/>
  <c r="AJ103" i="2" s="1"/>
  <c r="AG85" i="2"/>
  <c r="AH85" i="2" s="1"/>
  <c r="AI85" i="2" s="1"/>
  <c r="AJ85" i="2" s="1"/>
  <c r="AK86" i="2" s="1"/>
  <c r="AK138" i="2"/>
  <c r="AK134" i="2"/>
  <c r="AK133" i="2"/>
  <c r="AK132" i="2"/>
  <c r="AK131" i="2"/>
  <c r="AK127" i="2"/>
  <c r="AK126" i="2"/>
  <c r="AK125" i="2"/>
  <c r="AK118" i="2"/>
  <c r="AD121" i="2"/>
  <c r="AC121" i="2"/>
  <c r="Z121" i="2"/>
  <c r="Y121" i="2"/>
  <c r="X121" i="2"/>
  <c r="W121" i="2"/>
  <c r="U121" i="2"/>
  <c r="T121" i="2"/>
  <c r="S121" i="2"/>
  <c r="R121" i="2"/>
  <c r="P121" i="2"/>
  <c r="O121" i="2"/>
  <c r="N121" i="2"/>
  <c r="M121" i="2"/>
  <c r="K121" i="2"/>
  <c r="J121" i="2"/>
  <c r="I121" i="2"/>
  <c r="E121" i="2"/>
  <c r="F121" i="2"/>
  <c r="D121" i="2"/>
  <c r="AD116" i="2"/>
  <c r="AC116" i="2"/>
  <c r="AB116" i="2"/>
  <c r="Z116" i="2"/>
  <c r="Y116" i="2"/>
  <c r="X116" i="2"/>
  <c r="W116" i="2"/>
  <c r="U116" i="2"/>
  <c r="T116" i="2"/>
  <c r="S116" i="2"/>
  <c r="R116" i="2"/>
  <c r="P116" i="2"/>
  <c r="O116" i="2"/>
  <c r="N116" i="2"/>
  <c r="M116" i="2"/>
  <c r="J116" i="2"/>
  <c r="K116" i="2"/>
  <c r="I116" i="2"/>
  <c r="H116" i="2"/>
  <c r="E116" i="2"/>
  <c r="F116" i="2"/>
  <c r="D116" i="2"/>
  <c r="AD66" i="2"/>
  <c r="AD75" i="2" s="1"/>
  <c r="AC66" i="2"/>
  <c r="AB66" i="2"/>
  <c r="Z66" i="2"/>
  <c r="Y66" i="2"/>
  <c r="X66" i="2"/>
  <c r="W66" i="2"/>
  <c r="U66" i="2"/>
  <c r="T66" i="2"/>
  <c r="S66" i="2"/>
  <c r="R66" i="2"/>
  <c r="P66" i="2"/>
  <c r="O66" i="2"/>
  <c r="N66" i="2"/>
  <c r="M66" i="2"/>
  <c r="K66" i="2"/>
  <c r="J66" i="2"/>
  <c r="I66" i="2"/>
  <c r="H66" i="2"/>
  <c r="D66" i="2"/>
  <c r="E66" i="2"/>
  <c r="F66" i="2"/>
  <c r="C66" i="2"/>
  <c r="AB106" i="2"/>
  <c r="C106" i="2"/>
  <c r="AG105" i="2"/>
  <c r="AH105" i="2" s="1"/>
  <c r="AI105" i="2" s="1"/>
  <c r="AJ105" i="2" s="1"/>
  <c r="AG102" i="2"/>
  <c r="AH102" i="2" s="1"/>
  <c r="AI102" i="2" s="1"/>
  <c r="AJ102" i="2" s="1"/>
  <c r="AG96" i="2"/>
  <c r="AH96" i="2" s="1"/>
  <c r="AI96" i="2" s="1"/>
  <c r="AJ96" i="2" s="1"/>
  <c r="AG95" i="2"/>
  <c r="AH95" i="2" s="1"/>
  <c r="AI95" i="2" s="1"/>
  <c r="AJ95" i="2" s="1"/>
  <c r="D45" i="5" s="1"/>
  <c r="AD267" i="2"/>
  <c r="AC267" i="2"/>
  <c r="AT264" i="2"/>
  <c r="AS264" i="2"/>
  <c r="AR264" i="2"/>
  <c r="AQ264" i="2"/>
  <c r="AT263" i="2"/>
  <c r="AS263" i="2"/>
  <c r="AR263" i="2"/>
  <c r="AQ263" i="2"/>
  <c r="AT261" i="2"/>
  <c r="AS261" i="2"/>
  <c r="AR261" i="2"/>
  <c r="AQ261" i="2"/>
  <c r="AT260" i="2"/>
  <c r="AS260" i="2"/>
  <c r="AR260" i="2"/>
  <c r="AQ260" i="2"/>
  <c r="AT259" i="2"/>
  <c r="AS259" i="2"/>
  <c r="AR259" i="2"/>
  <c r="AQ259" i="2"/>
  <c r="AT258" i="2"/>
  <c r="AS258" i="2"/>
  <c r="AR258" i="2"/>
  <c r="AQ258" i="2"/>
  <c r="AQ257" i="2"/>
  <c r="AT256" i="2"/>
  <c r="AS256" i="2"/>
  <c r="AR256" i="2"/>
  <c r="AQ256" i="2"/>
  <c r="AT255" i="2"/>
  <c r="AS255" i="2"/>
  <c r="AR255" i="2"/>
  <c r="AQ255" i="2"/>
  <c r="AT254" i="2"/>
  <c r="AS254" i="2"/>
  <c r="AR254" i="2"/>
  <c r="AQ254" i="2"/>
  <c r="AT253" i="2"/>
  <c r="AS253" i="2"/>
  <c r="AR253" i="2"/>
  <c r="AQ253" i="2"/>
  <c r="AT252" i="2"/>
  <c r="AS252" i="2"/>
  <c r="AR252" i="2"/>
  <c r="AQ252" i="2"/>
  <c r="AT251" i="2"/>
  <c r="AS251" i="2"/>
  <c r="AR251" i="2"/>
  <c r="AQ251" i="2"/>
  <c r="AT250" i="2"/>
  <c r="AS250" i="2"/>
  <c r="AR250" i="2"/>
  <c r="AQ250" i="2"/>
  <c r="AT249" i="2"/>
  <c r="AS249" i="2"/>
  <c r="AR249" i="2"/>
  <c r="AQ249" i="2"/>
  <c r="AT248" i="2"/>
  <c r="AS248" i="2"/>
  <c r="AR248" i="2"/>
  <c r="AQ248" i="2"/>
  <c r="AM265" i="2"/>
  <c r="AL265" i="2"/>
  <c r="AO264" i="2"/>
  <c r="AN264" i="2"/>
  <c r="AM264" i="2"/>
  <c r="AL264" i="2"/>
  <c r="AO263" i="2"/>
  <c r="AN263" i="2"/>
  <c r="AM263" i="2"/>
  <c r="AL263" i="2"/>
  <c r="AO261" i="2"/>
  <c r="AN261" i="2"/>
  <c r="AM261" i="2"/>
  <c r="AL261" i="2"/>
  <c r="AO260" i="2"/>
  <c r="AN260" i="2"/>
  <c r="AM260" i="2"/>
  <c r="AL260" i="2"/>
  <c r="AO259" i="2"/>
  <c r="AN259" i="2"/>
  <c r="AM259" i="2"/>
  <c r="AL259" i="2"/>
  <c r="AO258" i="2"/>
  <c r="AN258" i="2"/>
  <c r="AM258" i="2"/>
  <c r="AL258" i="2"/>
  <c r="AO257" i="2"/>
  <c r="AN257" i="2"/>
  <c r="AM257" i="2"/>
  <c r="AL257" i="2"/>
  <c r="AO256" i="2"/>
  <c r="AN256" i="2"/>
  <c r="AM256" i="2"/>
  <c r="AL256" i="2"/>
  <c r="AO255" i="2"/>
  <c r="AN255" i="2"/>
  <c r="AM255" i="2"/>
  <c r="AL255" i="2"/>
  <c r="AO254" i="2"/>
  <c r="AN254" i="2"/>
  <c r="AM254" i="2"/>
  <c r="AL254" i="2"/>
  <c r="AO253" i="2"/>
  <c r="AN253" i="2"/>
  <c r="AM253" i="2"/>
  <c r="AL253" i="2"/>
  <c r="AO252" i="2"/>
  <c r="AN252" i="2"/>
  <c r="AM252" i="2"/>
  <c r="AL252" i="2"/>
  <c r="AO251" i="2"/>
  <c r="AN251" i="2"/>
  <c r="AM251" i="2"/>
  <c r="AL251" i="2"/>
  <c r="AO250" i="2"/>
  <c r="AN250" i="2"/>
  <c r="AM250" i="2"/>
  <c r="AL250" i="2"/>
  <c r="AO249" i="2"/>
  <c r="AN249" i="2"/>
  <c r="AM249" i="2"/>
  <c r="AL249" i="2"/>
  <c r="AO248" i="2"/>
  <c r="AN248" i="2"/>
  <c r="AM248" i="2"/>
  <c r="AL248" i="2"/>
  <c r="AI249" i="2"/>
  <c r="AJ249" i="2"/>
  <c r="AI250" i="2"/>
  <c r="AJ250" i="2"/>
  <c r="AI251" i="2"/>
  <c r="AJ251" i="2"/>
  <c r="AI252" i="2"/>
  <c r="AJ252" i="2"/>
  <c r="AI253" i="2"/>
  <c r="AJ253" i="2"/>
  <c r="AI254" i="2"/>
  <c r="AJ254" i="2"/>
  <c r="AI255" i="2"/>
  <c r="AJ255" i="2"/>
  <c r="AI256" i="2"/>
  <c r="AJ256" i="2"/>
  <c r="AI257" i="2"/>
  <c r="AJ257" i="2"/>
  <c r="AI258" i="2"/>
  <c r="AJ258" i="2"/>
  <c r="AI259" i="2"/>
  <c r="AJ259" i="2"/>
  <c r="AI260" i="2"/>
  <c r="AJ260" i="2"/>
  <c r="AI261" i="2"/>
  <c r="AJ261" i="2"/>
  <c r="AI263" i="2"/>
  <c r="AJ263" i="2"/>
  <c r="AI264" i="2"/>
  <c r="AJ264" i="2"/>
  <c r="AI265" i="2"/>
  <c r="AJ265" i="2"/>
  <c r="AJ248" i="2"/>
  <c r="AH265" i="2"/>
  <c r="AG265" i="2"/>
  <c r="AH264" i="2"/>
  <c r="AG264" i="2"/>
  <c r="AH263" i="2"/>
  <c r="AG263" i="2"/>
  <c r="AH261" i="2"/>
  <c r="AG261" i="2"/>
  <c r="AH260" i="2"/>
  <c r="AG260" i="2"/>
  <c r="AH259" i="2"/>
  <c r="AG259" i="2"/>
  <c r="AH258" i="2"/>
  <c r="AG258" i="2"/>
  <c r="AH257" i="2"/>
  <c r="AG257" i="2"/>
  <c r="AH256" i="2"/>
  <c r="AG256" i="2"/>
  <c r="AH255" i="2"/>
  <c r="AG255" i="2"/>
  <c r="AH254" i="2"/>
  <c r="AG254" i="2"/>
  <c r="AH253" i="2"/>
  <c r="AG253" i="2"/>
  <c r="AH252" i="2"/>
  <c r="AG252" i="2"/>
  <c r="AH251" i="2"/>
  <c r="AG251" i="2"/>
  <c r="AH250" i="2"/>
  <c r="AG250" i="2"/>
  <c r="AH249" i="2"/>
  <c r="AG249" i="2"/>
  <c r="AI248" i="2"/>
  <c r="AH248" i="2"/>
  <c r="AG248" i="2"/>
  <c r="AC249" i="2"/>
  <c r="AD249" i="2"/>
  <c r="AE249" i="2"/>
  <c r="AC250" i="2"/>
  <c r="AD250" i="2"/>
  <c r="AE250" i="2"/>
  <c r="AC251" i="2"/>
  <c r="AD251" i="2"/>
  <c r="AE251" i="2"/>
  <c r="AC252" i="2"/>
  <c r="AD252" i="2"/>
  <c r="AE252" i="2"/>
  <c r="AC253" i="2"/>
  <c r="AD253" i="2"/>
  <c r="AE253" i="2"/>
  <c r="AC254" i="2"/>
  <c r="AD254" i="2"/>
  <c r="AE254" i="2"/>
  <c r="AC255" i="2"/>
  <c r="AD255" i="2"/>
  <c r="AE255" i="2"/>
  <c r="AC256" i="2"/>
  <c r="AD256" i="2"/>
  <c r="AE256" i="2"/>
  <c r="AC257" i="2"/>
  <c r="AD257" i="2"/>
  <c r="AE257" i="2"/>
  <c r="AC258" i="2"/>
  <c r="AD258" i="2"/>
  <c r="AE258" i="2"/>
  <c r="AC259" i="2"/>
  <c r="AD259" i="2"/>
  <c r="AE259" i="2"/>
  <c r="AC260" i="2"/>
  <c r="AD260" i="2"/>
  <c r="AE260" i="2"/>
  <c r="AC261" i="2"/>
  <c r="AD261" i="2"/>
  <c r="AE261" i="2"/>
  <c r="AC262" i="2"/>
  <c r="AD262" i="2"/>
  <c r="AE262" i="2"/>
  <c r="AC263" i="2"/>
  <c r="AD263" i="2"/>
  <c r="AE263" i="2"/>
  <c r="AC264" i="2"/>
  <c r="AD264" i="2"/>
  <c r="AE264" i="2"/>
  <c r="AC265" i="2"/>
  <c r="AD265" i="2"/>
  <c r="AE265" i="2"/>
  <c r="AD248" i="2"/>
  <c r="AE248" i="2"/>
  <c r="AC248" i="2"/>
  <c r="AA86" i="2"/>
  <c r="V86" i="2"/>
  <c r="U86" i="2"/>
  <c r="Q86" i="2"/>
  <c r="L86" i="2"/>
  <c r="G86" i="2"/>
  <c r="AG57" i="2"/>
  <c r="AE266" i="2" l="1"/>
  <c r="AG266" i="2"/>
  <c r="AH266" i="2"/>
  <c r="AH34" i="2" s="1"/>
  <c r="AD266" i="2"/>
  <c r="AC266" i="2"/>
  <c r="AJ266" i="2"/>
  <c r="AJ34" i="2" s="1"/>
  <c r="AI266" i="2"/>
  <c r="AI34" i="2" s="1"/>
  <c r="AC268" i="2"/>
  <c r="AD268" i="2"/>
  <c r="AL266" i="2"/>
  <c r="AM266" i="2"/>
  <c r="AQ266" i="2"/>
  <c r="AR266" i="2"/>
  <c r="AT266" i="2"/>
  <c r="AN266" i="2"/>
  <c r="AO266" i="2"/>
  <c r="AS266" i="2"/>
  <c r="AH57" i="2"/>
  <c r="AF86" i="2"/>
  <c r="AG34" i="2" l="1"/>
  <c r="AK266" i="2"/>
  <c r="AU266" i="2"/>
  <c r="AP266" i="2"/>
  <c r="AI57" i="2"/>
  <c r="AJ57" i="2" l="1"/>
  <c r="AJ155" i="2" l="1"/>
  <c r="AI155" i="2"/>
  <c r="AH155" i="2"/>
  <c r="AG155" i="2"/>
  <c r="AD136" i="2" l="1"/>
  <c r="AC136" i="2"/>
  <c r="AB136" i="2"/>
  <c r="Z136" i="2"/>
  <c r="Y136" i="2"/>
  <c r="X136" i="2"/>
  <c r="W136" i="2"/>
  <c r="U136" i="2"/>
  <c r="T136" i="2"/>
  <c r="S136" i="2"/>
  <c r="R136" i="2"/>
  <c r="P136" i="2"/>
  <c r="O136" i="2"/>
  <c r="N136" i="2"/>
  <c r="M136" i="2"/>
  <c r="K136" i="2"/>
  <c r="J136" i="2"/>
  <c r="I136" i="2"/>
  <c r="H136" i="2"/>
  <c r="E136" i="2"/>
  <c r="F136" i="2"/>
  <c r="D136" i="2"/>
  <c r="C136" i="2"/>
  <c r="AD134" i="2"/>
  <c r="AC134" i="2"/>
  <c r="AB134" i="2"/>
  <c r="Z134" i="2"/>
  <c r="Y134" i="2"/>
  <c r="X134" i="2"/>
  <c r="W134" i="2"/>
  <c r="U134" i="2"/>
  <c r="T134" i="2"/>
  <c r="S134" i="2"/>
  <c r="R134" i="2"/>
  <c r="P134" i="2"/>
  <c r="O134" i="2"/>
  <c r="N134" i="2"/>
  <c r="M134" i="2"/>
  <c r="K134" i="2"/>
  <c r="J134" i="2"/>
  <c r="I134" i="2"/>
  <c r="H134" i="2"/>
  <c r="E134" i="2"/>
  <c r="F134" i="2"/>
  <c r="D134" i="2"/>
  <c r="C134" i="2"/>
  <c r="AD133" i="2"/>
  <c r="AC133" i="2"/>
  <c r="AB133" i="2"/>
  <c r="Z133" i="2"/>
  <c r="Y133" i="2"/>
  <c r="X133" i="2"/>
  <c r="W133" i="2"/>
  <c r="U133" i="2"/>
  <c r="T133" i="2"/>
  <c r="S133" i="2"/>
  <c r="R133" i="2"/>
  <c r="P133" i="2"/>
  <c r="O133" i="2"/>
  <c r="N133" i="2"/>
  <c r="M133" i="2"/>
  <c r="K133" i="2"/>
  <c r="J133" i="2"/>
  <c r="I133" i="2"/>
  <c r="H133" i="2"/>
  <c r="E133" i="2"/>
  <c r="F133" i="2"/>
  <c r="D133" i="2"/>
  <c r="G133" i="2" s="1"/>
  <c r="AD132" i="2"/>
  <c r="AC132" i="2"/>
  <c r="AB132" i="2"/>
  <c r="Z132" i="2"/>
  <c r="Y132" i="2"/>
  <c r="X132" i="2"/>
  <c r="W132" i="2"/>
  <c r="U132" i="2"/>
  <c r="T132" i="2"/>
  <c r="S132" i="2"/>
  <c r="R132" i="2"/>
  <c r="P132" i="2"/>
  <c r="O132" i="2"/>
  <c r="N132" i="2"/>
  <c r="M132" i="2"/>
  <c r="K132" i="2"/>
  <c r="J132" i="2"/>
  <c r="I132" i="2"/>
  <c r="H132" i="2"/>
  <c r="E132" i="2"/>
  <c r="F132" i="2"/>
  <c r="D132" i="2"/>
  <c r="AD131" i="2"/>
  <c r="AC131" i="2"/>
  <c r="AB131" i="2"/>
  <c r="Z131" i="2"/>
  <c r="Y131" i="2"/>
  <c r="X131" i="2"/>
  <c r="W131" i="2"/>
  <c r="U131" i="2"/>
  <c r="T131" i="2"/>
  <c r="S131" i="2"/>
  <c r="R131" i="2"/>
  <c r="P131" i="2"/>
  <c r="O131" i="2"/>
  <c r="N131" i="2"/>
  <c r="M131" i="2"/>
  <c r="I131" i="2"/>
  <c r="J131" i="2"/>
  <c r="K131" i="2"/>
  <c r="H131" i="2"/>
  <c r="AD128" i="2"/>
  <c r="AC128" i="2"/>
  <c r="AB128" i="2"/>
  <c r="Z128" i="2"/>
  <c r="Y128" i="2"/>
  <c r="X128" i="2"/>
  <c r="W128" i="2"/>
  <c r="U128" i="2"/>
  <c r="T128" i="2"/>
  <c r="S128" i="2"/>
  <c r="R128" i="2"/>
  <c r="P128" i="2"/>
  <c r="O128" i="2"/>
  <c r="N128" i="2"/>
  <c r="M128" i="2"/>
  <c r="K128" i="2"/>
  <c r="J128" i="2"/>
  <c r="I128" i="2"/>
  <c r="H128" i="2"/>
  <c r="E128" i="2"/>
  <c r="F128" i="2"/>
  <c r="D128" i="2"/>
  <c r="C128" i="2"/>
  <c r="AD126" i="2"/>
  <c r="AC126" i="2"/>
  <c r="AB126" i="2"/>
  <c r="Z126" i="2"/>
  <c r="Y126" i="2"/>
  <c r="X126" i="2"/>
  <c r="W126" i="2"/>
  <c r="U126" i="2"/>
  <c r="T126" i="2"/>
  <c r="S126" i="2"/>
  <c r="R126" i="2"/>
  <c r="P126" i="2"/>
  <c r="O126" i="2"/>
  <c r="N126" i="2"/>
  <c r="M126" i="2"/>
  <c r="K126" i="2"/>
  <c r="J126" i="2"/>
  <c r="I126" i="2"/>
  <c r="H126" i="2"/>
  <c r="E126" i="2"/>
  <c r="F126" i="2"/>
  <c r="D126" i="2"/>
  <c r="AD125" i="2"/>
  <c r="AC125" i="2"/>
  <c r="AB125" i="2"/>
  <c r="Z125" i="2"/>
  <c r="Y125" i="2"/>
  <c r="X125" i="2"/>
  <c r="W125" i="2"/>
  <c r="U125" i="2"/>
  <c r="T125" i="2"/>
  <c r="S125" i="2"/>
  <c r="R125" i="2"/>
  <c r="P125" i="2"/>
  <c r="O125" i="2"/>
  <c r="N125" i="2"/>
  <c r="M125" i="2"/>
  <c r="K125" i="2"/>
  <c r="J125" i="2"/>
  <c r="I125" i="2"/>
  <c r="H125" i="2"/>
  <c r="E125" i="2"/>
  <c r="F125" i="2"/>
  <c r="D125" i="2"/>
  <c r="AD124" i="2"/>
  <c r="AC124" i="2"/>
  <c r="AB124" i="2"/>
  <c r="Z124" i="2"/>
  <c r="Y124" i="2"/>
  <c r="X124" i="2"/>
  <c r="W124" i="2"/>
  <c r="U124" i="2"/>
  <c r="T124" i="2"/>
  <c r="S124" i="2"/>
  <c r="R124" i="2"/>
  <c r="P124" i="2"/>
  <c r="O124" i="2"/>
  <c r="N124" i="2"/>
  <c r="M124" i="2"/>
  <c r="K124" i="2"/>
  <c r="J124" i="2"/>
  <c r="I124" i="2"/>
  <c r="H124" i="2"/>
  <c r="E124" i="2"/>
  <c r="F124" i="2"/>
  <c r="D124" i="2"/>
  <c r="C124" i="2"/>
  <c r="C150" i="2" s="1"/>
  <c r="AC120" i="2"/>
  <c r="AC157" i="2" s="1"/>
  <c r="Z157" i="2"/>
  <c r="Y120" i="2"/>
  <c r="Y157" i="2" s="1"/>
  <c r="X120" i="2"/>
  <c r="X157" i="2" s="1"/>
  <c r="W157" i="2"/>
  <c r="U120" i="2"/>
  <c r="U157" i="2" s="1"/>
  <c r="T120" i="2"/>
  <c r="T157" i="2" s="1"/>
  <c r="S120" i="2"/>
  <c r="S157" i="2" s="1"/>
  <c r="R120" i="2"/>
  <c r="R157" i="2" s="1"/>
  <c r="P120" i="2"/>
  <c r="P157" i="2" s="1"/>
  <c r="O120" i="2"/>
  <c r="O157" i="2" s="1"/>
  <c r="N120" i="2"/>
  <c r="N157" i="2" s="1"/>
  <c r="M120" i="2"/>
  <c r="M157" i="2" s="1"/>
  <c r="K120" i="2"/>
  <c r="K157" i="2" s="1"/>
  <c r="J120" i="2"/>
  <c r="J157" i="2" s="1"/>
  <c r="I120" i="2"/>
  <c r="I157" i="2" s="1"/>
  <c r="H120" i="2"/>
  <c r="E120" i="2"/>
  <c r="E157" i="2" s="1"/>
  <c r="F120" i="2"/>
  <c r="F157" i="2" s="1"/>
  <c r="D120" i="2"/>
  <c r="D157" i="2" s="1"/>
  <c r="C120" i="2"/>
  <c r="C157" i="2" s="1"/>
  <c r="AE199" i="2"/>
  <c r="AD199" i="2"/>
  <c r="AC199" i="2"/>
  <c r="AB199" i="2"/>
  <c r="Z199" i="2"/>
  <c r="Y199" i="2"/>
  <c r="X199" i="2"/>
  <c r="W199" i="2"/>
  <c r="U199" i="2"/>
  <c r="T199" i="2"/>
  <c r="S199" i="2"/>
  <c r="R199" i="2"/>
  <c r="P199" i="2"/>
  <c r="O199" i="2"/>
  <c r="N199" i="2"/>
  <c r="M199" i="2"/>
  <c r="K199" i="2"/>
  <c r="J199" i="2"/>
  <c r="I199" i="2"/>
  <c r="H199" i="2"/>
  <c r="D199" i="2"/>
  <c r="E199" i="2"/>
  <c r="F199" i="2"/>
  <c r="C199" i="2"/>
  <c r="AD138" i="2"/>
  <c r="AC138" i="2"/>
  <c r="AB138" i="2"/>
  <c r="Z138" i="2"/>
  <c r="Z140" i="2" s="1"/>
  <c r="Y138" i="2"/>
  <c r="Y140" i="2" s="1"/>
  <c r="X138" i="2"/>
  <c r="W138" i="2"/>
  <c r="U138" i="2"/>
  <c r="T138" i="2"/>
  <c r="S138" i="2"/>
  <c r="R138" i="2"/>
  <c r="P138" i="2"/>
  <c r="O138" i="2"/>
  <c r="N138" i="2"/>
  <c r="M138" i="2"/>
  <c r="K138" i="2"/>
  <c r="J138" i="2"/>
  <c r="I138" i="2"/>
  <c r="H138" i="2"/>
  <c r="E138" i="2"/>
  <c r="E140" i="2" s="1"/>
  <c r="F138" i="2"/>
  <c r="F140" i="2" s="1"/>
  <c r="D138" i="2"/>
  <c r="C138" i="2"/>
  <c r="AB121" i="2"/>
  <c r="H121" i="2"/>
  <c r="C121" i="2"/>
  <c r="AD117" i="2"/>
  <c r="AC117" i="2"/>
  <c r="AC20" i="2" s="1"/>
  <c r="AB117" i="2"/>
  <c r="AB20" i="2" s="1"/>
  <c r="Z117" i="2"/>
  <c r="Z20" i="2" s="1"/>
  <c r="Y117" i="2"/>
  <c r="Y20" i="2" s="1"/>
  <c r="X117" i="2"/>
  <c r="X20" i="2" s="1"/>
  <c r="W117" i="2"/>
  <c r="W20" i="2" s="1"/>
  <c r="W154" i="2" s="1"/>
  <c r="U117" i="2"/>
  <c r="U20" i="2" s="1"/>
  <c r="T117" i="2"/>
  <c r="T20" i="2" s="1"/>
  <c r="S117" i="2"/>
  <c r="S20" i="2" s="1"/>
  <c r="S154" i="2" s="1"/>
  <c r="R117" i="2"/>
  <c r="R20" i="2" s="1"/>
  <c r="P117" i="2"/>
  <c r="P20" i="2" s="1"/>
  <c r="P154" i="2" s="1"/>
  <c r="O117" i="2"/>
  <c r="O20" i="2" s="1"/>
  <c r="N117" i="2"/>
  <c r="N20" i="2" s="1"/>
  <c r="M117" i="2"/>
  <c r="M20" i="2" s="1"/>
  <c r="I117" i="2"/>
  <c r="I20" i="2" s="1"/>
  <c r="J117" i="2"/>
  <c r="K117" i="2"/>
  <c r="K20" i="2" s="1"/>
  <c r="K154" i="2" s="1"/>
  <c r="H117" i="2"/>
  <c r="H20" i="2" s="1"/>
  <c r="E117" i="2"/>
  <c r="E20" i="2" s="1"/>
  <c r="F117" i="2"/>
  <c r="F20" i="2" s="1"/>
  <c r="F154" i="2" s="1"/>
  <c r="D117" i="2"/>
  <c r="D20" i="2" s="1"/>
  <c r="C117" i="2"/>
  <c r="C20" i="2" s="1"/>
  <c r="C116" i="2"/>
  <c r="G131" i="2"/>
  <c r="AF118" i="2"/>
  <c r="AA118" i="2"/>
  <c r="V118" i="2"/>
  <c r="Q118" i="2"/>
  <c r="L118" i="2"/>
  <c r="G118" i="2"/>
  <c r="AD144" i="2"/>
  <c r="AC144" i="2"/>
  <c r="AD143" i="2" s="1"/>
  <c r="AB144" i="2"/>
  <c r="AC143" i="2" s="1"/>
  <c r="Z144" i="2"/>
  <c r="Y144" i="2"/>
  <c r="X144" i="2"/>
  <c r="W144" i="2"/>
  <c r="U144" i="2"/>
  <c r="T144" i="2"/>
  <c r="U143" i="2" s="1"/>
  <c r="S144" i="2"/>
  <c r="T143" i="2" s="1"/>
  <c r="R144" i="2"/>
  <c r="S143" i="2" s="1"/>
  <c r="P144" i="2"/>
  <c r="R143" i="2" s="1"/>
  <c r="O144" i="2"/>
  <c r="P143" i="2" s="1"/>
  <c r="N144" i="2"/>
  <c r="O143" i="2" s="1"/>
  <c r="M144" i="2"/>
  <c r="N143" i="2" s="1"/>
  <c r="K144" i="2"/>
  <c r="M143" i="2" s="1"/>
  <c r="J144" i="2"/>
  <c r="K143" i="2" s="1"/>
  <c r="I144" i="2"/>
  <c r="J143" i="2" s="1"/>
  <c r="H144" i="2"/>
  <c r="I143" i="2" s="1"/>
  <c r="D144" i="2"/>
  <c r="E143" i="2" s="1"/>
  <c r="E144" i="2"/>
  <c r="F143" i="2" s="1"/>
  <c r="F144" i="2"/>
  <c r="H143" i="2" s="1"/>
  <c r="C144" i="2"/>
  <c r="AD106" i="2"/>
  <c r="AC106" i="2"/>
  <c r="Z106" i="2"/>
  <c r="Y106" i="2"/>
  <c r="X106" i="2"/>
  <c r="W106" i="2"/>
  <c r="U106" i="2"/>
  <c r="T106" i="2"/>
  <c r="S106" i="2"/>
  <c r="R106" i="2"/>
  <c r="P106" i="2"/>
  <c r="O106" i="2"/>
  <c r="N106" i="2"/>
  <c r="M106" i="2"/>
  <c r="K106" i="2"/>
  <c r="J106" i="2"/>
  <c r="I106" i="2"/>
  <c r="H106" i="2"/>
  <c r="D106" i="2"/>
  <c r="E106" i="2"/>
  <c r="F106" i="2"/>
  <c r="AD93" i="2"/>
  <c r="AC93" i="2"/>
  <c r="AB93" i="2"/>
  <c r="Z93" i="2"/>
  <c r="Y93" i="2"/>
  <c r="X93" i="2"/>
  <c r="W93" i="2"/>
  <c r="U93" i="2"/>
  <c r="T93" i="2"/>
  <c r="R93" i="2"/>
  <c r="D93" i="2"/>
  <c r="E93" i="2"/>
  <c r="C93" i="2"/>
  <c r="AD86" i="2"/>
  <c r="AC86" i="2"/>
  <c r="AB86" i="2"/>
  <c r="Z86" i="2"/>
  <c r="Y86" i="2"/>
  <c r="X86" i="2"/>
  <c r="W86" i="2"/>
  <c r="T86" i="2"/>
  <c r="S86" i="2"/>
  <c r="R86" i="2"/>
  <c r="P86" i="2"/>
  <c r="O86" i="2"/>
  <c r="N86" i="2"/>
  <c r="M86" i="2"/>
  <c r="K86" i="2"/>
  <c r="H86" i="2"/>
  <c r="J86" i="2"/>
  <c r="I86" i="2"/>
  <c r="E86" i="2"/>
  <c r="F86" i="2"/>
  <c r="D86" i="2"/>
  <c r="AK35" i="2"/>
  <c r="AK34" i="2"/>
  <c r="AK33" i="2"/>
  <c r="AF35" i="2"/>
  <c r="AF34" i="2"/>
  <c r="AF33" i="2"/>
  <c r="AA40" i="2"/>
  <c r="BF7" i="2" s="1"/>
  <c r="H12" i="5" s="1"/>
  <c r="AA35" i="2"/>
  <c r="V34" i="2"/>
  <c r="Q34" i="2"/>
  <c r="L35" i="2"/>
  <c r="L34" i="2"/>
  <c r="L33" i="2"/>
  <c r="G35" i="2"/>
  <c r="G34" i="2"/>
  <c r="G33" i="2"/>
  <c r="AK22" i="2"/>
  <c r="AA22" i="2"/>
  <c r="AA15" i="2"/>
  <c r="V22" i="2"/>
  <c r="V18" i="2"/>
  <c r="Q22" i="2"/>
  <c r="L22" i="2"/>
  <c r="L18" i="2"/>
  <c r="G22" i="2"/>
  <c r="G18" i="2"/>
  <c r="AH36" i="2"/>
  <c r="AI36" i="2"/>
  <c r="AJ36" i="2"/>
  <c r="AG36" i="2"/>
  <c r="AE36" i="2"/>
  <c r="N35" i="2"/>
  <c r="O35" i="2"/>
  <c r="R35" i="2"/>
  <c r="V35" i="2" s="1"/>
  <c r="AB10" i="2"/>
  <c r="AA133" i="2" l="1"/>
  <c r="AB140" i="2"/>
  <c r="J140" i="2"/>
  <c r="AD140" i="2"/>
  <c r="I140" i="2"/>
  <c r="AC140" i="2"/>
  <c r="Q134" i="2"/>
  <c r="AB150" i="2"/>
  <c r="AB152" i="2" s="1"/>
  <c r="Q132" i="2"/>
  <c r="K140" i="2"/>
  <c r="O140" i="2"/>
  <c r="P140" i="2"/>
  <c r="M140" i="2"/>
  <c r="R140" i="2"/>
  <c r="S140" i="2"/>
  <c r="T140" i="2"/>
  <c r="N140" i="2"/>
  <c r="U140" i="2"/>
  <c r="V126" i="2"/>
  <c r="V134" i="2"/>
  <c r="L138" i="2"/>
  <c r="H140" i="2"/>
  <c r="C140" i="2"/>
  <c r="W140" i="2"/>
  <c r="AF133" i="2"/>
  <c r="D140" i="2"/>
  <c r="X140" i="2"/>
  <c r="L125" i="2"/>
  <c r="AF125" i="2"/>
  <c r="N150" i="2"/>
  <c r="N152" i="2" s="1"/>
  <c r="O150" i="2"/>
  <c r="O152" i="2" s="1"/>
  <c r="L133" i="2"/>
  <c r="AA126" i="2"/>
  <c r="G126" i="2"/>
  <c r="V157" i="2"/>
  <c r="BE11" i="2" s="1"/>
  <c r="G16" i="5" s="1"/>
  <c r="Q131" i="2"/>
  <c r="G132" i="2"/>
  <c r="G157" i="2"/>
  <c r="BB11" i="2" s="1"/>
  <c r="D16" i="5" s="1"/>
  <c r="AA157" i="2"/>
  <c r="BF11" i="2" s="1"/>
  <c r="H16" i="5" s="1"/>
  <c r="L120" i="2"/>
  <c r="H157" i="2"/>
  <c r="AB157" i="2"/>
  <c r="Q157" i="2"/>
  <c r="BD11" i="2" s="1"/>
  <c r="F16" i="5" s="1"/>
  <c r="AA131" i="2"/>
  <c r="L134" i="2"/>
  <c r="U23" i="2"/>
  <c r="U154" i="2"/>
  <c r="X23" i="2"/>
  <c r="X154" i="2"/>
  <c r="H23" i="2"/>
  <c r="H154" i="2"/>
  <c r="AC23" i="2"/>
  <c r="AC154" i="2"/>
  <c r="C23" i="2"/>
  <c r="C154" i="2"/>
  <c r="T23" i="2"/>
  <c r="T154" i="2"/>
  <c r="E23" i="2"/>
  <c r="E154" i="2"/>
  <c r="D23" i="2"/>
  <c r="D154" i="2"/>
  <c r="Y23" i="2"/>
  <c r="Y154" i="2"/>
  <c r="AB23" i="2"/>
  <c r="AB154" i="2"/>
  <c r="M23" i="2"/>
  <c r="M154" i="2"/>
  <c r="N23" i="2"/>
  <c r="N154" i="2"/>
  <c r="Z154" i="2"/>
  <c r="I23" i="2"/>
  <c r="I154" i="2"/>
  <c r="O23" i="2"/>
  <c r="O154" i="2"/>
  <c r="R23" i="2"/>
  <c r="R154" i="2"/>
  <c r="Q126" i="2"/>
  <c r="V133" i="2"/>
  <c r="AF134" i="2"/>
  <c r="V116" i="2"/>
  <c r="AF138" i="2"/>
  <c r="G125" i="2"/>
  <c r="AA124" i="2"/>
  <c r="V131" i="2"/>
  <c r="V138" i="2"/>
  <c r="V120" i="2"/>
  <c r="H150" i="2"/>
  <c r="V125" i="2"/>
  <c r="AA132" i="2"/>
  <c r="I150" i="2"/>
  <c r="I152" i="2" s="1"/>
  <c r="AC150" i="2"/>
  <c r="AC152" i="2" s="1"/>
  <c r="S150" i="2"/>
  <c r="S152" i="2" s="1"/>
  <c r="J150" i="2"/>
  <c r="J152" i="2" s="1"/>
  <c r="AD150" i="2"/>
  <c r="AD152" i="2" s="1"/>
  <c r="K150" i="2"/>
  <c r="K152" i="2" s="1"/>
  <c r="M150" i="2"/>
  <c r="N135" i="2"/>
  <c r="P150" i="2"/>
  <c r="P152" i="2" s="1"/>
  <c r="L132" i="2"/>
  <c r="C135" i="2"/>
  <c r="AF131" i="2"/>
  <c r="AF126" i="2"/>
  <c r="AA116" i="2"/>
  <c r="Q133" i="2"/>
  <c r="Q138" i="2"/>
  <c r="Q120" i="2"/>
  <c r="Q125" i="2"/>
  <c r="V132" i="2"/>
  <c r="Q124" i="2"/>
  <c r="G120" i="2"/>
  <c r="W135" i="2"/>
  <c r="AA120" i="2"/>
  <c r="X135" i="2"/>
  <c r="G138" i="2"/>
  <c r="U135" i="2"/>
  <c r="P135" i="2"/>
  <c r="H135" i="2"/>
  <c r="AB135" i="2"/>
  <c r="F135" i="2"/>
  <c r="AA138" i="2"/>
  <c r="R150" i="2"/>
  <c r="Y135" i="2"/>
  <c r="U150" i="2"/>
  <c r="U152" i="2" s="1"/>
  <c r="W150" i="2"/>
  <c r="X150" i="2"/>
  <c r="X152" i="2" s="1"/>
  <c r="AD135" i="2"/>
  <c r="T150" i="2"/>
  <c r="T152" i="2" s="1"/>
  <c r="O135" i="2"/>
  <c r="Z135" i="2"/>
  <c r="AC135" i="2"/>
  <c r="D150" i="2"/>
  <c r="D152" i="2" s="1"/>
  <c r="L131" i="2"/>
  <c r="S135" i="2"/>
  <c r="J135" i="2"/>
  <c r="F150" i="2"/>
  <c r="F152" i="2" s="1"/>
  <c r="Y150" i="2"/>
  <c r="Y152" i="2" s="1"/>
  <c r="K135" i="2"/>
  <c r="D135" i="2"/>
  <c r="E135" i="2"/>
  <c r="I135" i="2"/>
  <c r="V124" i="2"/>
  <c r="E150" i="2"/>
  <c r="E152" i="2" s="1"/>
  <c r="Z150" i="2"/>
  <c r="Z152" i="2" s="1"/>
  <c r="L126" i="2"/>
  <c r="G134" i="2"/>
  <c r="AA134" i="2"/>
  <c r="M135" i="2"/>
  <c r="R135" i="2"/>
  <c r="T135" i="2"/>
  <c r="G124" i="2"/>
  <c r="L124" i="2"/>
  <c r="AA125" i="2"/>
  <c r="AF132" i="2"/>
  <c r="AA136" i="2"/>
  <c r="T119" i="2"/>
  <c r="U119" i="2"/>
  <c r="D119" i="2"/>
  <c r="L117" i="2"/>
  <c r="J20" i="2"/>
  <c r="W119" i="2"/>
  <c r="F119" i="2"/>
  <c r="X119" i="2"/>
  <c r="Y119" i="2"/>
  <c r="J119" i="2"/>
  <c r="AD119" i="2"/>
  <c r="AD20" i="2"/>
  <c r="AC119" i="2"/>
  <c r="K119" i="2"/>
  <c r="H119" i="2"/>
  <c r="M119" i="2"/>
  <c r="Z119" i="2"/>
  <c r="I119" i="2"/>
  <c r="E119" i="2"/>
  <c r="AB119" i="2"/>
  <c r="V117" i="2"/>
  <c r="Q116" i="2"/>
  <c r="N119" i="2"/>
  <c r="O119" i="2"/>
  <c r="P119" i="2"/>
  <c r="R119" i="2"/>
  <c r="S119" i="2"/>
  <c r="Q117" i="2"/>
  <c r="L116" i="2"/>
  <c r="G116" i="2"/>
  <c r="AA117" i="2"/>
  <c r="G117" i="2"/>
  <c r="Q121" i="2"/>
  <c r="V121" i="2"/>
  <c r="C152" i="2"/>
  <c r="AA20" i="2"/>
  <c r="V20" i="2"/>
  <c r="L121" i="2"/>
  <c r="L136" i="2"/>
  <c r="W143" i="2"/>
  <c r="Q136" i="2"/>
  <c r="X143" i="2"/>
  <c r="Y143" i="2"/>
  <c r="Z143" i="2"/>
  <c r="G20" i="2"/>
  <c r="AB143" i="2"/>
  <c r="V136" i="2"/>
  <c r="W23" i="2"/>
  <c r="AA121" i="2"/>
  <c r="G136" i="2"/>
  <c r="D143" i="2"/>
  <c r="AE143" i="2"/>
  <c r="Q20" i="2"/>
  <c r="AK36" i="2"/>
  <c r="Q35" i="2"/>
  <c r="L157" i="2" l="1"/>
  <c r="BC11" i="2" s="1"/>
  <c r="E16" i="5" s="1"/>
  <c r="AF117" i="2"/>
  <c r="AA154" i="2"/>
  <c r="BF9" i="2" s="1"/>
  <c r="G154" i="2"/>
  <c r="BB9" i="2" s="1"/>
  <c r="J23" i="2"/>
  <c r="J154" i="2"/>
  <c r="L154" i="2" s="1"/>
  <c r="BC9" i="2" s="1"/>
  <c r="H152" i="2"/>
  <c r="L150" i="2"/>
  <c r="BC10" i="2" s="1"/>
  <c r="E14" i="5" s="1"/>
  <c r="Q154" i="2"/>
  <c r="BD9" i="2" s="1"/>
  <c r="AD23" i="2"/>
  <c r="AD154" i="2"/>
  <c r="AF154" i="2" s="1"/>
  <c r="BG9" i="2" s="1"/>
  <c r="M152" i="2"/>
  <c r="Q150" i="2"/>
  <c r="BD10" i="2" s="1"/>
  <c r="F14" i="5" s="1"/>
  <c r="W152" i="2"/>
  <c r="AA150" i="2"/>
  <c r="BF10" i="2" s="1"/>
  <c r="H14" i="5" s="1"/>
  <c r="R152" i="2"/>
  <c r="V150" i="2"/>
  <c r="BE10" i="2" s="1"/>
  <c r="G14" i="5" s="1"/>
  <c r="V154" i="2"/>
  <c r="BE9" i="2" s="1"/>
  <c r="G150" i="2"/>
  <c r="BB10" i="2" s="1"/>
  <c r="D14" i="5" s="1"/>
  <c r="Q135" i="2"/>
  <c r="G135" i="2"/>
  <c r="L135" i="2"/>
  <c r="L20" i="2"/>
  <c r="AA135" i="2"/>
  <c r="V135" i="2"/>
  <c r="L119" i="2"/>
  <c r="Q119" i="2"/>
  <c r="AA119" i="2"/>
  <c r="V119" i="2"/>
  <c r="G140" i="2"/>
  <c r="AA140" i="2"/>
  <c r="L140" i="2"/>
  <c r="V140" i="2"/>
  <c r="Q140" i="2"/>
  <c r="AH20" i="2"/>
  <c r="AH154" i="2" s="1"/>
  <c r="AH117" i="2" s="1"/>
  <c r="AI20" i="2"/>
  <c r="AI154" i="2" s="1"/>
  <c r="AI117" i="2" s="1"/>
  <c r="AG20" i="2"/>
  <c r="AG71" i="2" l="1"/>
  <c r="AH71" i="2" s="1"/>
  <c r="AI71" i="2" s="1"/>
  <c r="AG154" i="2"/>
  <c r="AG117" i="2" s="1"/>
  <c r="AJ20" i="2"/>
  <c r="AF20" i="2"/>
  <c r="AC36" i="2"/>
  <c r="AD36" i="2"/>
  <c r="AB36" i="2"/>
  <c r="Z33" i="2"/>
  <c r="AA33" i="2" s="1"/>
  <c r="Z34" i="2"/>
  <c r="AA34" i="2" s="1"/>
  <c r="Z18" i="2"/>
  <c r="AK20" i="2" l="1"/>
  <c r="AJ154" i="2"/>
  <c r="AJ71" i="2"/>
  <c r="AF36" i="2"/>
  <c r="Z23" i="2"/>
  <c r="AA18" i="2"/>
  <c r="AJ99" i="3"/>
  <c r="AI88" i="3"/>
  <c r="AH88" i="3"/>
  <c r="AH8" i="2" s="1"/>
  <c r="AG88" i="3"/>
  <c r="AG8" i="2" s="1"/>
  <c r="AJ88" i="3"/>
  <c r="AJ8" i="2" s="1"/>
  <c r="AH79" i="3"/>
  <c r="AI79" i="3"/>
  <c r="AJ79" i="3"/>
  <c r="AG79" i="3"/>
  <c r="AG85" i="3" s="1"/>
  <c r="AJ75" i="3"/>
  <c r="AI75" i="3"/>
  <c r="AH75" i="3"/>
  <c r="AG75" i="3"/>
  <c r="AI83" i="3"/>
  <c r="AH83" i="3"/>
  <c r="AG83" i="3"/>
  <c r="AH81" i="3"/>
  <c r="AI81" i="3"/>
  <c r="AJ81" i="3"/>
  <c r="AG81" i="3"/>
  <c r="AJ83" i="3"/>
  <c r="AH78" i="3"/>
  <c r="AI78" i="3"/>
  <c r="AJ78" i="3"/>
  <c r="AG78" i="3"/>
  <c r="AE78" i="3"/>
  <c r="AI69" i="3"/>
  <c r="AH69" i="3"/>
  <c r="AG69" i="3"/>
  <c r="AJ69" i="3"/>
  <c r="AI67" i="3"/>
  <c r="AH67" i="3"/>
  <c r="AG67" i="3"/>
  <c r="AJ67" i="3"/>
  <c r="AI65" i="3"/>
  <c r="AH65" i="3"/>
  <c r="AG65" i="3"/>
  <c r="AJ65" i="3"/>
  <c r="AH63" i="3"/>
  <c r="AI63" i="3"/>
  <c r="AG63" i="3"/>
  <c r="AJ63" i="3"/>
  <c r="AH61" i="3"/>
  <c r="AI61" i="3"/>
  <c r="AG61" i="3"/>
  <c r="AJ61" i="3"/>
  <c r="AJ58" i="3"/>
  <c r="AI8" i="2"/>
  <c r="AE8" i="2"/>
  <c r="AH37" i="3"/>
  <c r="AH43" i="3" s="1"/>
  <c r="AI37" i="3"/>
  <c r="AI43" i="3" s="1"/>
  <c r="AG37" i="3"/>
  <c r="AG38" i="3" s="1"/>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4" i="4"/>
  <c r="H5" i="4"/>
  <c r="H6" i="4"/>
  <c r="H7" i="4"/>
  <c r="H8" i="4"/>
  <c r="H9" i="4"/>
  <c r="H10" i="4"/>
  <c r="H11" i="4"/>
  <c r="H12" i="4"/>
  <c r="H13" i="4"/>
  <c r="H14" i="4"/>
  <c r="H15" i="4"/>
  <c r="H16" i="4"/>
  <c r="H17" i="4"/>
  <c r="AB3" i="4"/>
  <c r="AA3" i="4"/>
  <c r="Q3" i="4"/>
  <c r="Q4" i="4"/>
  <c r="Q5" i="4"/>
  <c r="I4" i="4"/>
  <c r="I5" i="4"/>
  <c r="I6" i="4"/>
  <c r="I7" i="4"/>
  <c r="I8" i="4"/>
  <c r="I9" i="4"/>
  <c r="I10" i="4"/>
  <c r="I11" i="4"/>
  <c r="I12" i="4"/>
  <c r="I13" i="4"/>
  <c r="I14" i="4"/>
  <c r="I15" i="4"/>
  <c r="I16"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K5" i="4" s="1"/>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 i="4"/>
  <c r="AH85" i="3" l="1"/>
  <c r="AI85" i="3"/>
  <c r="AG71" i="3"/>
  <c r="AG52" i="3" s="1"/>
  <c r="AJ71" i="3"/>
  <c r="AI71" i="3"/>
  <c r="AH71" i="3"/>
  <c r="AF37" i="3"/>
  <c r="AF38" i="3" s="1"/>
  <c r="AH38" i="3"/>
  <c r="AH6" i="2"/>
  <c r="AG6" i="2"/>
  <c r="AG43" i="3"/>
  <c r="AK154" i="2"/>
  <c r="BH9" i="2" s="1"/>
  <c r="AJ117" i="2"/>
  <c r="AK117" i="2" s="1"/>
  <c r="AA23" i="2"/>
  <c r="AK8" i="2"/>
  <c r="AJ85" i="3"/>
  <c r="AI38" i="3"/>
  <c r="AI6" i="2"/>
  <c r="AE38" i="3"/>
  <c r="AE6" i="2"/>
  <c r="AE71" i="3"/>
  <c r="AJ37" i="3"/>
  <c r="AJ43" i="3" s="1"/>
  <c r="AE85" i="3"/>
  <c r="L4" i="4"/>
  <c r="M5" i="4"/>
  <c r="L5" i="4"/>
  <c r="M4" i="4"/>
  <c r="L6" i="4"/>
  <c r="K6" i="4"/>
  <c r="M6" i="4"/>
  <c r="K4" i="4"/>
  <c r="M3" i="4"/>
  <c r="L3" i="4"/>
  <c r="K3" i="4"/>
  <c r="AH52" i="3" l="1"/>
  <c r="AH46" i="3" s="1"/>
  <c r="AH7" i="2" s="1"/>
  <c r="AI52" i="3"/>
  <c r="AI49" i="3" s="1"/>
  <c r="AI50" i="3" s="1"/>
  <c r="AJ72" i="3"/>
  <c r="AJ52" i="3"/>
  <c r="AJ49" i="3" s="1"/>
  <c r="AG49" i="3"/>
  <c r="AG50" i="3" s="1"/>
  <c r="AG46" i="3"/>
  <c r="AG7" i="2" s="1"/>
  <c r="AH49" i="3"/>
  <c r="AH50" i="3" s="1"/>
  <c r="AJ6" i="2"/>
  <c r="AK6" i="2" s="1"/>
  <c r="AJ38" i="3"/>
  <c r="AE52" i="3"/>
  <c r="AE55" i="3" s="1"/>
  <c r="AH47" i="3"/>
  <c r="AI46" i="3" l="1"/>
  <c r="AG47" i="3"/>
  <c r="AJ46" i="3"/>
  <c r="AJ7" i="2" s="1"/>
  <c r="AI47" i="3"/>
  <c r="AI7" i="2"/>
  <c r="AK7" i="2" s="1"/>
  <c r="AJ47" i="3"/>
  <c r="AJ53" i="3"/>
  <c r="S6" i="4"/>
  <c r="S5" i="4"/>
  <c r="S4" i="4"/>
  <c r="S3" i="4"/>
  <c r="T3" i="4"/>
  <c r="R3" i="4"/>
  <c r="T4" i="4"/>
  <c r="R4" i="4"/>
  <c r="T5" i="4"/>
  <c r="R5" i="4"/>
  <c r="R6" i="4"/>
  <c r="Q6" i="4"/>
  <c r="T6" i="4"/>
  <c r="AJ16" i="3"/>
  <c r="AJ14" i="3"/>
  <c r="AJ18" i="3" s="1"/>
  <c r="AI24" i="3"/>
  <c r="AI22" i="3"/>
  <c r="AI16" i="3"/>
  <c r="AI14" i="3"/>
  <c r="AH24" i="3"/>
  <c r="AH22" i="3"/>
  <c r="AH16" i="3"/>
  <c r="AH14" i="3"/>
  <c r="AH18" i="3" s="1"/>
  <c r="AG24" i="3"/>
  <c r="AG22" i="3"/>
  <c r="AG16" i="3"/>
  <c r="AG14" i="3"/>
  <c r="AE26" i="3"/>
  <c r="AE27" i="3" s="1"/>
  <c r="AJ24" i="3"/>
  <c r="AJ22" i="3"/>
  <c r="AE32" i="3"/>
  <c r="AE30" i="3"/>
  <c r="V4" i="3"/>
  <c r="AA4" i="3"/>
  <c r="AD17" i="2"/>
  <c r="AC17" i="2"/>
  <c r="AB17" i="2"/>
  <c r="D10" i="2"/>
  <c r="E10" i="2"/>
  <c r="F10" i="2"/>
  <c r="H10" i="2"/>
  <c r="I10" i="2"/>
  <c r="J10" i="2"/>
  <c r="K10" i="2"/>
  <c r="M10" i="2"/>
  <c r="N10" i="2"/>
  <c r="O10" i="2"/>
  <c r="P10" i="2"/>
  <c r="R10" i="2"/>
  <c r="S10" i="2"/>
  <c r="T10" i="2"/>
  <c r="U10" i="2"/>
  <c r="W10" i="2"/>
  <c r="X10" i="2"/>
  <c r="Y10" i="2"/>
  <c r="Z10" i="2"/>
  <c r="AC10" i="2"/>
  <c r="AD10" i="2"/>
  <c r="C10" i="2"/>
  <c r="AD7" i="2"/>
  <c r="AC7" i="2"/>
  <c r="AB7" i="2"/>
  <c r="AD8" i="2"/>
  <c r="AC8" i="2"/>
  <c r="AB8" i="2"/>
  <c r="Z8" i="2"/>
  <c r="Y8" i="2"/>
  <c r="X8" i="2"/>
  <c r="W8" i="2"/>
  <c r="U8" i="2"/>
  <c r="T8" i="2"/>
  <c r="S8" i="2"/>
  <c r="R8" i="2"/>
  <c r="P8" i="2"/>
  <c r="O8" i="2"/>
  <c r="N8" i="2"/>
  <c r="M8" i="2"/>
  <c r="K8" i="2"/>
  <c r="J8" i="2"/>
  <c r="I8" i="2"/>
  <c r="H8" i="2"/>
  <c r="D8" i="2"/>
  <c r="E8" i="2"/>
  <c r="F8" i="2"/>
  <c r="C8" i="2"/>
  <c r="D6" i="2"/>
  <c r="E6" i="2"/>
  <c r="F6" i="2"/>
  <c r="H6" i="2"/>
  <c r="I6" i="2"/>
  <c r="J6" i="2"/>
  <c r="K6" i="2"/>
  <c r="M6" i="2"/>
  <c r="N6" i="2"/>
  <c r="O6" i="2"/>
  <c r="P6" i="2"/>
  <c r="R6" i="2"/>
  <c r="S6" i="2"/>
  <c r="T6" i="2"/>
  <c r="U6" i="2"/>
  <c r="W6" i="2"/>
  <c r="X6" i="2"/>
  <c r="Y6" i="2"/>
  <c r="Z6" i="2"/>
  <c r="AB6" i="2"/>
  <c r="AC6" i="2"/>
  <c r="AD6" i="2"/>
  <c r="C6" i="2"/>
  <c r="AD95" i="3"/>
  <c r="AC95" i="3"/>
  <c r="AB95" i="3"/>
  <c r="Z95" i="3"/>
  <c r="Y95" i="3"/>
  <c r="X95" i="3"/>
  <c r="W95" i="3"/>
  <c r="U95" i="3"/>
  <c r="T95" i="3"/>
  <c r="S95" i="3"/>
  <c r="R95" i="3"/>
  <c r="P95" i="3"/>
  <c r="O95" i="3"/>
  <c r="N95" i="3"/>
  <c r="M95" i="3"/>
  <c r="I95" i="3"/>
  <c r="J95" i="3"/>
  <c r="K95" i="3"/>
  <c r="H95" i="3"/>
  <c r="AD89" i="3"/>
  <c r="AC89" i="3"/>
  <c r="AB89" i="3"/>
  <c r="Z89" i="3"/>
  <c r="Y89" i="3"/>
  <c r="X89" i="3"/>
  <c r="W89" i="3"/>
  <c r="U89" i="3"/>
  <c r="T89" i="3"/>
  <c r="S89" i="3"/>
  <c r="R89" i="3"/>
  <c r="P89" i="3"/>
  <c r="O89" i="3"/>
  <c r="N89" i="3"/>
  <c r="M89" i="3"/>
  <c r="I89" i="3"/>
  <c r="J89" i="3"/>
  <c r="K89" i="3"/>
  <c r="H89" i="3"/>
  <c r="C85" i="3"/>
  <c r="D85" i="3"/>
  <c r="E85" i="3"/>
  <c r="F85" i="3"/>
  <c r="H85" i="3"/>
  <c r="I85" i="3"/>
  <c r="J85" i="3"/>
  <c r="K85" i="3"/>
  <c r="M85" i="3"/>
  <c r="N85" i="3"/>
  <c r="O85" i="3"/>
  <c r="P85" i="3"/>
  <c r="R85" i="3"/>
  <c r="S85" i="3"/>
  <c r="T85" i="3"/>
  <c r="U85" i="3"/>
  <c r="W85" i="3"/>
  <c r="X85" i="3"/>
  <c r="Y85" i="3"/>
  <c r="Z85" i="3"/>
  <c r="AB85" i="3"/>
  <c r="AC85" i="3"/>
  <c r="AD85" i="3"/>
  <c r="W42" i="3"/>
  <c r="X42" i="3"/>
  <c r="Y42" i="3"/>
  <c r="I43" i="3"/>
  <c r="J43" i="3"/>
  <c r="K43" i="3"/>
  <c r="M43" i="3"/>
  <c r="N43" i="3"/>
  <c r="O43" i="3"/>
  <c r="P43" i="3"/>
  <c r="R43" i="3"/>
  <c r="S43" i="3"/>
  <c r="T43" i="3"/>
  <c r="U43" i="3"/>
  <c r="W43" i="3"/>
  <c r="X43" i="3"/>
  <c r="Y43" i="3"/>
  <c r="Z43" i="3"/>
  <c r="AB43" i="3"/>
  <c r="AC43" i="3"/>
  <c r="AD43" i="3"/>
  <c r="H43" i="3"/>
  <c r="H82" i="3"/>
  <c r="AD42" i="3"/>
  <c r="AC42" i="3"/>
  <c r="AB42" i="3"/>
  <c r="Z42" i="3"/>
  <c r="U42" i="3"/>
  <c r="T42" i="3"/>
  <c r="S42" i="3"/>
  <c r="R42" i="3"/>
  <c r="P42" i="3"/>
  <c r="O42" i="3"/>
  <c r="N42" i="3"/>
  <c r="M42" i="3"/>
  <c r="K42" i="3"/>
  <c r="J42" i="3"/>
  <c r="I42" i="3"/>
  <c r="H42" i="3"/>
  <c r="D42" i="3"/>
  <c r="E42" i="3"/>
  <c r="F42" i="3"/>
  <c r="C42" i="3"/>
  <c r="AD38" i="3"/>
  <c r="AC38" i="3"/>
  <c r="AB38" i="3"/>
  <c r="Z38" i="3"/>
  <c r="Y38" i="3"/>
  <c r="X38" i="3"/>
  <c r="W38" i="3"/>
  <c r="U38" i="3"/>
  <c r="T38" i="3"/>
  <c r="S38" i="3"/>
  <c r="R38" i="3"/>
  <c r="P38" i="3"/>
  <c r="O38" i="3"/>
  <c r="N38" i="3"/>
  <c r="M38" i="3"/>
  <c r="K38" i="3"/>
  <c r="J38" i="3"/>
  <c r="I38" i="3"/>
  <c r="H38" i="3"/>
  <c r="AD84" i="3"/>
  <c r="AC84" i="3"/>
  <c r="AB84" i="3"/>
  <c r="AD82" i="3"/>
  <c r="AC82" i="3"/>
  <c r="AB82" i="3"/>
  <c r="AD80" i="3"/>
  <c r="AC80" i="3"/>
  <c r="AB80" i="3"/>
  <c r="AD78" i="3"/>
  <c r="AC78" i="3"/>
  <c r="AB78" i="3"/>
  <c r="AD76" i="3"/>
  <c r="AC76" i="3"/>
  <c r="AB76" i="3"/>
  <c r="AD47" i="3"/>
  <c r="AC47" i="3"/>
  <c r="AB47" i="3"/>
  <c r="AB57" i="3"/>
  <c r="AG58" i="3" s="1"/>
  <c r="AD57" i="3"/>
  <c r="AI58" i="3" s="1"/>
  <c r="AC57" i="3"/>
  <c r="AH58" i="3" s="1"/>
  <c r="AD70" i="3"/>
  <c r="AC70" i="3"/>
  <c r="AB70" i="3"/>
  <c r="AD68" i="3"/>
  <c r="AC68" i="3"/>
  <c r="AB68" i="3"/>
  <c r="AD66" i="3"/>
  <c r="AC66" i="3"/>
  <c r="AB66" i="3"/>
  <c r="AD64" i="3"/>
  <c r="AC64" i="3"/>
  <c r="AB64" i="3"/>
  <c r="AD62" i="3"/>
  <c r="AC62" i="3"/>
  <c r="AB62" i="3"/>
  <c r="AC71" i="3"/>
  <c r="AH72" i="3" s="1"/>
  <c r="AD71" i="3"/>
  <c r="AI72" i="3" s="1"/>
  <c r="AB71" i="3"/>
  <c r="AG72" i="3" s="1"/>
  <c r="Z71" i="3"/>
  <c r="AE72" i="3" s="1"/>
  <c r="Y71" i="3"/>
  <c r="X71" i="3"/>
  <c r="W71" i="3"/>
  <c r="U71" i="3"/>
  <c r="T71" i="3"/>
  <c r="S71" i="3"/>
  <c r="R71" i="3"/>
  <c r="P71" i="3"/>
  <c r="O71" i="3"/>
  <c r="N71" i="3"/>
  <c r="M71" i="3"/>
  <c r="K71" i="3"/>
  <c r="J71" i="3"/>
  <c r="I71" i="3"/>
  <c r="H71" i="3"/>
  <c r="D71" i="3"/>
  <c r="E71" i="3"/>
  <c r="F71" i="3"/>
  <c r="C71" i="3"/>
  <c r="T66" i="3"/>
  <c r="P15" i="2"/>
  <c r="Q15" i="2" s="1"/>
  <c r="AB5" i="2"/>
  <c r="AC5" i="2"/>
  <c r="AD5" i="2"/>
  <c r="AD5" i="3"/>
  <c r="AC5" i="3"/>
  <c r="AB5" i="3"/>
  <c r="AD32" i="3"/>
  <c r="AC32" i="3"/>
  <c r="AB32" i="3"/>
  <c r="AD17" i="3"/>
  <c r="AC17" i="3"/>
  <c r="AB17" i="3"/>
  <c r="AD18" i="3"/>
  <c r="AC18" i="3"/>
  <c r="AB18" i="3"/>
  <c r="Z18" i="3"/>
  <c r="Y18" i="3"/>
  <c r="X18" i="3"/>
  <c r="W18" i="3"/>
  <c r="U18" i="3"/>
  <c r="T18" i="3"/>
  <c r="S18" i="3"/>
  <c r="R18" i="3"/>
  <c r="P18" i="3"/>
  <c r="O18" i="3"/>
  <c r="N18" i="3"/>
  <c r="M18" i="3"/>
  <c r="K18" i="3"/>
  <c r="J18" i="3"/>
  <c r="I18" i="3"/>
  <c r="H18" i="3"/>
  <c r="D18" i="3"/>
  <c r="E18" i="3"/>
  <c r="F18" i="3"/>
  <c r="C18" i="3"/>
  <c r="AD26" i="3"/>
  <c r="AC26" i="3"/>
  <c r="AB26" i="3"/>
  <c r="Z26" i="3"/>
  <c r="Y26" i="3"/>
  <c r="X26" i="3"/>
  <c r="W26" i="3"/>
  <c r="U26" i="3"/>
  <c r="T26" i="3"/>
  <c r="S26" i="3"/>
  <c r="R26" i="3"/>
  <c r="P26" i="3"/>
  <c r="O26" i="3"/>
  <c r="N26" i="3"/>
  <c r="M26" i="3"/>
  <c r="K26" i="3"/>
  <c r="J26" i="3"/>
  <c r="I26" i="3"/>
  <c r="H26" i="3"/>
  <c r="D26" i="3"/>
  <c r="E26" i="3"/>
  <c r="F26" i="3"/>
  <c r="C26" i="3"/>
  <c r="AD25" i="3"/>
  <c r="AC25" i="3"/>
  <c r="AB25" i="3"/>
  <c r="AD30" i="3"/>
  <c r="AC30" i="3"/>
  <c r="AB30" i="3"/>
  <c r="AD23" i="3"/>
  <c r="AC23" i="3"/>
  <c r="AB23" i="3"/>
  <c r="AD15" i="3"/>
  <c r="AC15" i="3"/>
  <c r="AB15" i="3"/>
  <c r="T30" i="3"/>
  <c r="Z17" i="2"/>
  <c r="W17" i="2"/>
  <c r="T17" i="2"/>
  <c r="R17" i="2"/>
  <c r="O17" i="2"/>
  <c r="N17" i="2"/>
  <c r="M17" i="2"/>
  <c r="I17" i="2"/>
  <c r="J17" i="2"/>
  <c r="H17" i="2"/>
  <c r="N50" i="2"/>
  <c r="O50" i="2" s="1"/>
  <c r="P50" i="2" s="1"/>
  <c r="R50" i="2" s="1"/>
  <c r="S50" i="2" s="1"/>
  <c r="T50" i="2" s="1"/>
  <c r="U50" i="2" s="1"/>
  <c r="W50" i="2" s="1"/>
  <c r="C50" i="2"/>
  <c r="D50" i="2" s="1"/>
  <c r="E50" i="2" s="1"/>
  <c r="F50" i="2" s="1"/>
  <c r="H50" i="2" s="1"/>
  <c r="I50" i="2" s="1"/>
  <c r="J50" i="2" s="1"/>
  <c r="K50" i="2" s="1"/>
  <c r="S40" i="2"/>
  <c r="P40" i="2"/>
  <c r="P93" i="2" s="1"/>
  <c r="O40" i="2"/>
  <c r="O93" i="2" s="1"/>
  <c r="N40" i="2"/>
  <c r="N93" i="2" s="1"/>
  <c r="M40" i="2"/>
  <c r="M93" i="2" s="1"/>
  <c r="K40" i="2"/>
  <c r="K93" i="2" s="1"/>
  <c r="J40" i="2"/>
  <c r="J93" i="2" s="1"/>
  <c r="I40" i="2"/>
  <c r="I93" i="2" s="1"/>
  <c r="H40" i="2"/>
  <c r="H93" i="2" s="1"/>
  <c r="F40" i="2"/>
  <c r="U36" i="2"/>
  <c r="K36" i="2"/>
  <c r="C36" i="2"/>
  <c r="X36" i="2"/>
  <c r="T36" i="2"/>
  <c r="R36" i="2"/>
  <c r="N36" i="2"/>
  <c r="Y36" i="2"/>
  <c r="D36" i="2"/>
  <c r="S33" i="2"/>
  <c r="M33" i="2"/>
  <c r="Q33" i="2" s="1"/>
  <c r="P18" i="2"/>
  <c r="Q18" i="2" s="1"/>
  <c r="S15" i="2"/>
  <c r="V15" i="2" s="1"/>
  <c r="K15" i="2"/>
  <c r="F15" i="2"/>
  <c r="Z57" i="3"/>
  <c r="AE58" i="3" s="1"/>
  <c r="Y57" i="3"/>
  <c r="X57" i="3"/>
  <c r="W57" i="3"/>
  <c r="U57" i="3"/>
  <c r="T57" i="3"/>
  <c r="S57" i="3"/>
  <c r="R57" i="3"/>
  <c r="P57" i="3"/>
  <c r="O57" i="3"/>
  <c r="N57" i="3"/>
  <c r="M57" i="3"/>
  <c r="K57" i="3"/>
  <c r="J57" i="3"/>
  <c r="I57" i="3"/>
  <c r="H57" i="3"/>
  <c r="D57" i="3"/>
  <c r="E57" i="3"/>
  <c r="F57" i="3"/>
  <c r="C57" i="3"/>
  <c r="Z47" i="3"/>
  <c r="Y47" i="3"/>
  <c r="X47" i="3"/>
  <c r="W47" i="3"/>
  <c r="U47" i="3"/>
  <c r="T47" i="3"/>
  <c r="S47" i="3"/>
  <c r="R47" i="3"/>
  <c r="P47" i="3"/>
  <c r="O47" i="3"/>
  <c r="N47" i="3"/>
  <c r="M47" i="3"/>
  <c r="I47" i="3"/>
  <c r="J47" i="3"/>
  <c r="K47" i="3"/>
  <c r="H47" i="3"/>
  <c r="D7" i="2"/>
  <c r="E7" i="2"/>
  <c r="F7" i="2"/>
  <c r="H7" i="2"/>
  <c r="I7" i="2"/>
  <c r="J7" i="2"/>
  <c r="K7" i="2"/>
  <c r="M7" i="2"/>
  <c r="N7" i="2"/>
  <c r="O7" i="2"/>
  <c r="P7" i="2"/>
  <c r="R7" i="2"/>
  <c r="S7" i="2"/>
  <c r="T7" i="2"/>
  <c r="U7" i="2"/>
  <c r="W7" i="2"/>
  <c r="X7" i="2"/>
  <c r="Y7" i="2"/>
  <c r="Z7" i="2"/>
  <c r="C7" i="2"/>
  <c r="D5" i="2"/>
  <c r="E5" i="2"/>
  <c r="F5" i="2"/>
  <c r="H5" i="2"/>
  <c r="I5" i="2"/>
  <c r="J5" i="2"/>
  <c r="K5" i="2"/>
  <c r="M5" i="2"/>
  <c r="N5" i="2"/>
  <c r="O5" i="2"/>
  <c r="R5" i="2"/>
  <c r="S5" i="2"/>
  <c r="T5" i="2"/>
  <c r="U5" i="2"/>
  <c r="W5" i="2"/>
  <c r="X5" i="2"/>
  <c r="Y5" i="2"/>
  <c r="Z5" i="2"/>
  <c r="C5" i="2"/>
  <c r="P4" i="3"/>
  <c r="P5" i="2" s="1"/>
  <c r="AD50" i="3"/>
  <c r="AC50" i="3"/>
  <c r="AB50" i="3"/>
  <c r="G10" i="2" l="1"/>
  <c r="AJ19" i="3"/>
  <c r="L8" i="2"/>
  <c r="AF8" i="2"/>
  <c r="V8" i="2"/>
  <c r="G40" i="2"/>
  <c r="F93" i="2"/>
  <c r="V40" i="2"/>
  <c r="BE7" i="2" s="1"/>
  <c r="G12" i="5" s="1"/>
  <c r="S93" i="2"/>
  <c r="G5" i="2"/>
  <c r="Q40" i="2"/>
  <c r="BD7" i="2" s="1"/>
  <c r="F12" i="5" s="1"/>
  <c r="L40" i="2"/>
  <c r="BC7" i="2" s="1"/>
  <c r="E12" i="5" s="1"/>
  <c r="S36" i="2"/>
  <c r="V36" i="2" s="1"/>
  <c r="V33" i="2"/>
  <c r="V5" i="2"/>
  <c r="AA6" i="2"/>
  <c r="Q6" i="2"/>
  <c r="G8" i="2"/>
  <c r="Q8" i="2"/>
  <c r="AA8" i="2"/>
  <c r="AA10" i="2"/>
  <c r="Q10" i="2"/>
  <c r="L5" i="2"/>
  <c r="AA7" i="2"/>
  <c r="Q7" i="2"/>
  <c r="Q23" i="2"/>
  <c r="G6" i="2"/>
  <c r="V6" i="2"/>
  <c r="L10" i="2"/>
  <c r="AF6" i="2"/>
  <c r="L6" i="2"/>
  <c r="V10" i="2"/>
  <c r="Q5" i="2"/>
  <c r="G7" i="2"/>
  <c r="V7" i="2"/>
  <c r="L7" i="2"/>
  <c r="F23" i="2"/>
  <c r="G15" i="2"/>
  <c r="AA5" i="2"/>
  <c r="K23" i="2"/>
  <c r="L15" i="2"/>
  <c r="Q17" i="2" s="1"/>
  <c r="V23" i="2"/>
  <c r="V17" i="2"/>
  <c r="AA17" i="2"/>
  <c r="P23" i="2"/>
  <c r="X17" i="2"/>
  <c r="S23" i="2"/>
  <c r="AJ26" i="3"/>
  <c r="AJ27" i="3" s="1"/>
  <c r="AH19" i="3"/>
  <c r="W9" i="2"/>
  <c r="W11" i="2" s="1"/>
  <c r="AI18" i="3"/>
  <c r="AI19" i="3" s="1"/>
  <c r="AJ50" i="3"/>
  <c r="AE50" i="3"/>
  <c r="AE47" i="3"/>
  <c r="AE7" i="2"/>
  <c r="AF7" i="2" s="1"/>
  <c r="K17" i="2"/>
  <c r="Z9" i="2"/>
  <c r="Z11" i="2" s="1"/>
  <c r="W36" i="2"/>
  <c r="Z36" i="2"/>
  <c r="X50" i="2"/>
  <c r="Y50" i="2" s="1"/>
  <c r="Z50" i="2" s="1"/>
  <c r="S17" i="2"/>
  <c r="X9" i="2"/>
  <c r="X11" i="2" s="1"/>
  <c r="Y9" i="2"/>
  <c r="Y11" i="2" s="1"/>
  <c r="U3" i="4"/>
  <c r="U9" i="4"/>
  <c r="U11" i="4"/>
  <c r="U13" i="4"/>
  <c r="U8" i="4"/>
  <c r="U7" i="4"/>
  <c r="V3" i="4"/>
  <c r="U14" i="4"/>
  <c r="U12" i="4"/>
  <c r="U10" i="4"/>
  <c r="V4" i="4"/>
  <c r="U4" i="4"/>
  <c r="V6" i="4"/>
  <c r="V5" i="4"/>
  <c r="U6" i="4"/>
  <c r="U5" i="4"/>
  <c r="AI32" i="3"/>
  <c r="AI33" i="3" s="1"/>
  <c r="AH32" i="3"/>
  <c r="AH33" i="3" s="1"/>
  <c r="AJ32" i="3"/>
  <c r="AJ33" i="3" s="1"/>
  <c r="AG32" i="3"/>
  <c r="AG33" i="3" s="1"/>
  <c r="AI26" i="3"/>
  <c r="AI27" i="3" s="1"/>
  <c r="AH26" i="3"/>
  <c r="AH27" i="3" s="1"/>
  <c r="AG26" i="3"/>
  <c r="AG27" i="3" s="1"/>
  <c r="AG18" i="3"/>
  <c r="AG19" i="3" s="1"/>
  <c r="AJ30" i="3"/>
  <c r="AJ31" i="3" s="1"/>
  <c r="AI30" i="3"/>
  <c r="AH30" i="3"/>
  <c r="AG30" i="3"/>
  <c r="AE34" i="3"/>
  <c r="AE7" i="3" s="1"/>
  <c r="AE95" i="3" s="1"/>
  <c r="AD9" i="2"/>
  <c r="AD11" i="2" s="1"/>
  <c r="AC9" i="2"/>
  <c r="AC11" i="2" s="1"/>
  <c r="AC61" i="2" s="1"/>
  <c r="AC75" i="2" s="1"/>
  <c r="AB9" i="2"/>
  <c r="O72" i="3"/>
  <c r="Y72" i="3"/>
  <c r="N72" i="3"/>
  <c r="X72" i="3"/>
  <c r="AB27" i="3"/>
  <c r="AB72" i="3"/>
  <c r="AB34" i="3"/>
  <c r="AB7" i="3" s="1"/>
  <c r="AB98" i="3" s="1"/>
  <c r="AC19" i="3"/>
  <c r="AC34" i="3"/>
  <c r="AC7" i="3" s="1"/>
  <c r="AC98" i="3" s="1"/>
  <c r="AH99" i="3" s="1"/>
  <c r="AD27" i="3"/>
  <c r="I72" i="3"/>
  <c r="AC27" i="3"/>
  <c r="AD19" i="3"/>
  <c r="K72" i="3"/>
  <c r="U72" i="3"/>
  <c r="AB58" i="3"/>
  <c r="M72" i="3"/>
  <c r="W72" i="3"/>
  <c r="AC72" i="3"/>
  <c r="P72" i="3"/>
  <c r="AD34" i="3"/>
  <c r="AD7" i="3" s="1"/>
  <c r="H72" i="3"/>
  <c r="R72" i="3"/>
  <c r="AD52" i="3"/>
  <c r="AD55" i="3" s="1"/>
  <c r="S72" i="3"/>
  <c r="J72" i="3"/>
  <c r="T72" i="3"/>
  <c r="AC58" i="3"/>
  <c r="AB52" i="3"/>
  <c r="AD72" i="3"/>
  <c r="AC52" i="3"/>
  <c r="AD58" i="3"/>
  <c r="Z72" i="3"/>
  <c r="AB19" i="3"/>
  <c r="P17" i="2"/>
  <c r="U17" i="2"/>
  <c r="M36" i="2"/>
  <c r="AD98" i="3" l="1"/>
  <c r="AI99" i="3" s="1"/>
  <c r="BB7" i="2"/>
  <c r="D12" i="5" s="1"/>
  <c r="W82" i="2"/>
  <c r="W90" i="2" s="1"/>
  <c r="W97" i="2" s="1"/>
  <c r="W109" i="2" s="1"/>
  <c r="W61" i="2"/>
  <c r="W75" i="2" s="1"/>
  <c r="X82" i="2"/>
  <c r="X90" i="2" s="1"/>
  <c r="X97" i="2" s="1"/>
  <c r="X109" i="2" s="1"/>
  <c r="X61" i="2"/>
  <c r="X75" i="2" s="1"/>
  <c r="Y82" i="2"/>
  <c r="Y90" i="2" s="1"/>
  <c r="Y97" i="2" s="1"/>
  <c r="Y109" i="2" s="1"/>
  <c r="Y61" i="2"/>
  <c r="Y75" i="2" s="1"/>
  <c r="AD82" i="2"/>
  <c r="AD90" i="2" s="1"/>
  <c r="AD97" i="2" s="1"/>
  <c r="AD109" i="2" s="1"/>
  <c r="AD61" i="2"/>
  <c r="Z82" i="2"/>
  <c r="Z90" i="2" s="1"/>
  <c r="Z97" i="2" s="1"/>
  <c r="Z109" i="2" s="1"/>
  <c r="Z61" i="2"/>
  <c r="Z75" i="2" s="1"/>
  <c r="AC151" i="2"/>
  <c r="AC82" i="2"/>
  <c r="AC90" i="2" s="1"/>
  <c r="AC97" i="2" s="1"/>
  <c r="Y89" i="2"/>
  <c r="Y151" i="2"/>
  <c r="X89" i="2"/>
  <c r="X151" i="2"/>
  <c r="AD89" i="2"/>
  <c r="AD151" i="2"/>
  <c r="Z89" i="2"/>
  <c r="Z151" i="2"/>
  <c r="W89" i="2"/>
  <c r="W151" i="2"/>
  <c r="AC80" i="2"/>
  <c r="AC89" i="2"/>
  <c r="X59" i="2"/>
  <c r="X80" i="2"/>
  <c r="Y59" i="2"/>
  <c r="Y80" i="2"/>
  <c r="AD59" i="2"/>
  <c r="AD80" i="2"/>
  <c r="Z59" i="2"/>
  <c r="Z80" i="2"/>
  <c r="W59" i="2"/>
  <c r="W80" i="2"/>
  <c r="AC64" i="2"/>
  <c r="AC59" i="2"/>
  <c r="X21" i="2"/>
  <c r="X155" i="2" s="1"/>
  <c r="X64" i="2"/>
  <c r="Y21" i="2"/>
  <c r="Y155" i="2" s="1"/>
  <c r="Y64" i="2"/>
  <c r="AD21" i="2"/>
  <c r="AD155" i="2" s="1"/>
  <c r="AD64" i="2"/>
  <c r="Z21" i="2"/>
  <c r="Z155" i="2" s="1"/>
  <c r="Z64" i="2"/>
  <c r="W21" i="2"/>
  <c r="W155" i="2" s="1"/>
  <c r="W64" i="2"/>
  <c r="G9" i="2"/>
  <c r="G11" i="2" s="1"/>
  <c r="AA36" i="2"/>
  <c r="V9" i="2"/>
  <c r="V11" i="2" s="1"/>
  <c r="V24" i="2"/>
  <c r="AA24" i="2"/>
  <c r="Q9" i="2"/>
  <c r="Q11" i="2" s="1"/>
  <c r="AA9" i="2"/>
  <c r="AA11" i="2" s="1"/>
  <c r="G23" i="2"/>
  <c r="L23" i="2"/>
  <c r="Q24" i="2" s="1"/>
  <c r="L17" i="2"/>
  <c r="L9" i="2"/>
  <c r="L11" i="2" s="1"/>
  <c r="AC21" i="2"/>
  <c r="AC155" i="2" s="1"/>
  <c r="AC26" i="2"/>
  <c r="AB55" i="3"/>
  <c r="AG53" i="3"/>
  <c r="S30" i="4"/>
  <c r="K30" i="4"/>
  <c r="AI53" i="3"/>
  <c r="AC55" i="3"/>
  <c r="AH53" i="3"/>
  <c r="AB11" i="2"/>
  <c r="AB151" i="2" s="1"/>
  <c r="AD19" i="2"/>
  <c r="AD26" i="2"/>
  <c r="Z3" i="4"/>
  <c r="Y3" i="4"/>
  <c r="AD96" i="3"/>
  <c r="AJ34" i="3"/>
  <c r="AJ7" i="3" s="1"/>
  <c r="AI34" i="3"/>
  <c r="AI7" i="3" s="1"/>
  <c r="AI31" i="3"/>
  <c r="AH34" i="3"/>
  <c r="AH7" i="3" s="1"/>
  <c r="AH31" i="3"/>
  <c r="AG34" i="3"/>
  <c r="AG7" i="3" s="1"/>
  <c r="AG31" i="3"/>
  <c r="AD16" i="2"/>
  <c r="AD90" i="3"/>
  <c r="AF7" i="3"/>
  <c r="AC90" i="3"/>
  <c r="AB96" i="3"/>
  <c r="AC96" i="3"/>
  <c r="AB90" i="3"/>
  <c r="Y96" i="3"/>
  <c r="Y90" i="3"/>
  <c r="X96" i="3"/>
  <c r="X90" i="3"/>
  <c r="Z90" i="3"/>
  <c r="Z96" i="3"/>
  <c r="AC10" i="3"/>
  <c r="AH10" i="3" s="1"/>
  <c r="AB10" i="3"/>
  <c r="AG10" i="3" s="1"/>
  <c r="AD10" i="3"/>
  <c r="AI10" i="3" s="1"/>
  <c r="E36" i="2"/>
  <c r="O36" i="2"/>
  <c r="P36" i="2"/>
  <c r="AC109" i="2" l="1"/>
  <c r="AC110" i="2" s="1"/>
  <c r="G151" i="2"/>
  <c r="BB5" i="2"/>
  <c r="D3" i="5" s="1"/>
  <c r="D15" i="5" s="1"/>
  <c r="L151" i="2"/>
  <c r="BC5" i="2"/>
  <c r="E3" i="5" s="1"/>
  <c r="AA151" i="2"/>
  <c r="BF5" i="2"/>
  <c r="H3" i="5" s="1"/>
  <c r="Q151" i="2"/>
  <c r="BD5" i="2"/>
  <c r="F3" i="5" s="1"/>
  <c r="V151" i="2"/>
  <c r="BE5" i="2"/>
  <c r="G3" i="5" s="1"/>
  <c r="AD110" i="2"/>
  <c r="Z110" i="2"/>
  <c r="X110" i="2"/>
  <c r="Y110" i="2"/>
  <c r="AB82" i="2"/>
  <c r="AB90" i="2" s="1"/>
  <c r="AB97" i="2" s="1"/>
  <c r="AB109" i="2" s="1"/>
  <c r="AB61" i="2"/>
  <c r="AB75" i="2" s="1"/>
  <c r="W110" i="2"/>
  <c r="AB89" i="2"/>
  <c r="AB59" i="2"/>
  <c r="AB80" i="2"/>
  <c r="Q19" i="2"/>
  <c r="V26" i="2"/>
  <c r="V30" i="2" s="1"/>
  <c r="G16" i="2"/>
  <c r="AB19" i="2"/>
  <c r="AB64" i="2"/>
  <c r="AA26" i="2"/>
  <c r="AA27" i="2" s="1"/>
  <c r="G21" i="2"/>
  <c r="G155" i="2" s="1"/>
  <c r="G19" i="2"/>
  <c r="G26" i="2"/>
  <c r="G30" i="2" s="1"/>
  <c r="V16" i="2"/>
  <c r="V21" i="2"/>
  <c r="V155" i="2" s="1"/>
  <c r="V19" i="2"/>
  <c r="Q36" i="2"/>
  <c r="L26" i="2"/>
  <c r="L27" i="2" s="1"/>
  <c r="Q16" i="2"/>
  <c r="Q26" i="2"/>
  <c r="L24" i="2"/>
  <c r="V12" i="2"/>
  <c r="Q21" i="2"/>
  <c r="Q155" i="2" s="1"/>
  <c r="L12" i="2"/>
  <c r="L19" i="2"/>
  <c r="L21" i="2"/>
  <c r="L155" i="2" s="1"/>
  <c r="AA12" i="2"/>
  <c r="AA21" i="2"/>
  <c r="AA155" i="2" s="1"/>
  <c r="AA16" i="2"/>
  <c r="AA19" i="2"/>
  <c r="L16" i="2"/>
  <c r="Q12" i="2"/>
  <c r="AD30" i="2"/>
  <c r="AD31" i="2" s="1"/>
  <c r="AC30" i="2"/>
  <c r="AC31" i="2" s="1"/>
  <c r="AB21" i="2"/>
  <c r="AC16" i="2"/>
  <c r="AC19" i="2"/>
  <c r="AJ8" i="3"/>
  <c r="AJ94" i="3"/>
  <c r="AH8" i="3"/>
  <c r="AH4" i="3" s="1"/>
  <c r="AH5" i="3" s="1"/>
  <c r="AH94" i="3"/>
  <c r="AI8" i="3"/>
  <c r="AI4" i="3" s="1"/>
  <c r="AI5" i="3" s="1"/>
  <c r="AI94" i="3"/>
  <c r="AC38" i="2"/>
  <c r="AC41" i="2" s="1"/>
  <c r="AC27" i="2"/>
  <c r="AB16" i="2"/>
  <c r="AD27" i="2"/>
  <c r="AD38" i="2"/>
  <c r="AG8" i="3"/>
  <c r="AG4" i="3" s="1"/>
  <c r="AK7" i="3"/>
  <c r="AM8" i="3" s="1"/>
  <c r="Z26" i="2"/>
  <c r="AD12" i="2"/>
  <c r="Z16" i="2"/>
  <c r="Z19" i="2"/>
  <c r="F36" i="2"/>
  <c r="G36" i="2" s="1"/>
  <c r="AI5" i="2" l="1"/>
  <c r="AI9" i="2" s="1"/>
  <c r="AI96" i="3" s="1"/>
  <c r="AH5" i="2"/>
  <c r="AH9" i="2" s="1"/>
  <c r="AH96" i="3" s="1"/>
  <c r="F4" i="5"/>
  <c r="F15" i="5"/>
  <c r="F13" i="5"/>
  <c r="E4" i="5"/>
  <c r="E15" i="5"/>
  <c r="E13" i="5"/>
  <c r="G4" i="5"/>
  <c r="G15" i="5"/>
  <c r="G13" i="5"/>
  <c r="H4" i="5"/>
  <c r="H13" i="5"/>
  <c r="H15" i="5"/>
  <c r="D13" i="5"/>
  <c r="V31" i="2"/>
  <c r="BE6" i="2"/>
  <c r="G10" i="5" s="1"/>
  <c r="G31" i="2"/>
  <c r="BB6" i="2"/>
  <c r="D10" i="5" s="1"/>
  <c r="AB26" i="2"/>
  <c r="AB30" i="2" s="1"/>
  <c r="AB31" i="2" s="1"/>
  <c r="AB155" i="2"/>
  <c r="AB110" i="2"/>
  <c r="V27" i="2"/>
  <c r="V28" i="2"/>
  <c r="AA30" i="2"/>
  <c r="AA28" i="2"/>
  <c r="G27" i="2"/>
  <c r="L28" i="2"/>
  <c r="L30" i="2"/>
  <c r="Q27" i="2"/>
  <c r="Q28" i="2"/>
  <c r="Q30" i="2"/>
  <c r="Z30" i="2"/>
  <c r="Z31" i="2" s="1"/>
  <c r="AC43" i="2"/>
  <c r="AC45" i="2" s="1"/>
  <c r="AD43" i="2"/>
  <c r="AD45" i="2" s="1"/>
  <c r="AD41" i="2"/>
  <c r="Z27" i="2"/>
  <c r="Z38" i="2"/>
  <c r="AI90" i="3"/>
  <c r="AG5" i="3"/>
  <c r="AG5" i="2"/>
  <c r="H36" i="2"/>
  <c r="AH90" i="3" l="1"/>
  <c r="D17" i="5"/>
  <c r="D22" i="5" s="1"/>
  <c r="D11" i="5"/>
  <c r="G17" i="5"/>
  <c r="G22" i="5" s="1"/>
  <c r="G11" i="5"/>
  <c r="AB38" i="2"/>
  <c r="AA31" i="2"/>
  <c r="BF6" i="2"/>
  <c r="H10" i="5" s="1"/>
  <c r="AB27" i="2"/>
  <c r="L31" i="2"/>
  <c r="BC6" i="2"/>
  <c r="E10" i="5" s="1"/>
  <c r="Q31" i="2"/>
  <c r="BD6" i="2"/>
  <c r="F10" i="5" s="1"/>
  <c r="AB43" i="2"/>
  <c r="AG9" i="2"/>
  <c r="AB41" i="2"/>
  <c r="Z43" i="2"/>
  <c r="Z45" i="2" s="1"/>
  <c r="Z41" i="2"/>
  <c r="J36" i="2"/>
  <c r="I36" i="2"/>
  <c r="F17" i="5" l="1"/>
  <c r="F22" i="5" s="1"/>
  <c r="F11" i="5"/>
  <c r="H17" i="5"/>
  <c r="H22" i="5" s="1"/>
  <c r="H11" i="5"/>
  <c r="E17" i="5"/>
  <c r="E22" i="5" s="1"/>
  <c r="E11" i="5"/>
  <c r="L36" i="2"/>
  <c r="AB45" i="2"/>
  <c r="AG90" i="3"/>
  <c r="Z76" i="3"/>
  <c r="Y76" i="3"/>
  <c r="X76" i="3"/>
  <c r="W76" i="3"/>
  <c r="Z78" i="3"/>
  <c r="Y78" i="3"/>
  <c r="X78" i="3"/>
  <c r="W78" i="3"/>
  <c r="Z80" i="3"/>
  <c r="Y80" i="3"/>
  <c r="X80" i="3"/>
  <c r="W80" i="3"/>
  <c r="Z82" i="3"/>
  <c r="Y82" i="3"/>
  <c r="X82" i="3"/>
  <c r="W82" i="3"/>
  <c r="Z84" i="3"/>
  <c r="Y84" i="3"/>
  <c r="X84" i="3"/>
  <c r="W84" i="3"/>
  <c r="U84" i="3"/>
  <c r="T84" i="3"/>
  <c r="S84" i="3"/>
  <c r="R84" i="3"/>
  <c r="U82" i="3"/>
  <c r="T82" i="3"/>
  <c r="S82" i="3"/>
  <c r="R82" i="3"/>
  <c r="U80" i="3"/>
  <c r="T80" i="3"/>
  <c r="S80" i="3"/>
  <c r="R80" i="3"/>
  <c r="U78" i="3"/>
  <c r="T78" i="3"/>
  <c r="S78" i="3"/>
  <c r="R78" i="3"/>
  <c r="U76" i="3"/>
  <c r="T76" i="3"/>
  <c r="S76" i="3"/>
  <c r="R76" i="3"/>
  <c r="P80" i="3"/>
  <c r="O80" i="3"/>
  <c r="N80" i="3"/>
  <c r="M80" i="3"/>
  <c r="P82" i="3"/>
  <c r="O82" i="3"/>
  <c r="N82" i="3"/>
  <c r="M82" i="3"/>
  <c r="P84" i="3"/>
  <c r="O84" i="3"/>
  <c r="N84" i="3"/>
  <c r="M84" i="3"/>
  <c r="K84" i="3"/>
  <c r="J84" i="3"/>
  <c r="I84" i="3"/>
  <c r="H84" i="3"/>
  <c r="K82" i="3"/>
  <c r="J82" i="3"/>
  <c r="I82" i="3"/>
  <c r="K80" i="3"/>
  <c r="J80" i="3"/>
  <c r="I80" i="3"/>
  <c r="H80" i="3"/>
  <c r="K78" i="3"/>
  <c r="J78" i="3"/>
  <c r="I78" i="3"/>
  <c r="H78" i="3"/>
  <c r="P78" i="3"/>
  <c r="O78" i="3"/>
  <c r="N78" i="3"/>
  <c r="M78" i="3"/>
  <c r="P76" i="3"/>
  <c r="O76" i="3"/>
  <c r="N76" i="3"/>
  <c r="M76" i="3"/>
  <c r="K76" i="3"/>
  <c r="J76" i="3"/>
  <c r="I76" i="3"/>
  <c r="H76" i="3"/>
  <c r="Z66" i="3"/>
  <c r="Y66" i="3"/>
  <c r="X66" i="3"/>
  <c r="W66" i="3"/>
  <c r="Z68" i="3"/>
  <c r="Y68" i="3"/>
  <c r="X68" i="3"/>
  <c r="W68" i="3"/>
  <c r="Z70" i="3"/>
  <c r="Y70" i="3"/>
  <c r="X70" i="3"/>
  <c r="W70" i="3"/>
  <c r="U70" i="3"/>
  <c r="T70" i="3"/>
  <c r="S70" i="3"/>
  <c r="R70" i="3"/>
  <c r="U68" i="3"/>
  <c r="T68" i="3"/>
  <c r="S68" i="3"/>
  <c r="R68" i="3"/>
  <c r="U66" i="3"/>
  <c r="S66" i="3"/>
  <c r="R66" i="3"/>
  <c r="P66" i="3"/>
  <c r="O66" i="3"/>
  <c r="N66" i="3"/>
  <c r="M66" i="3"/>
  <c r="P68" i="3"/>
  <c r="O68" i="3"/>
  <c r="N68" i="3"/>
  <c r="M68" i="3"/>
  <c r="P70" i="3"/>
  <c r="O70" i="3"/>
  <c r="N70" i="3"/>
  <c r="M70" i="3"/>
  <c r="K70" i="3"/>
  <c r="J70" i="3"/>
  <c r="I70" i="3"/>
  <c r="H70" i="3"/>
  <c r="K68" i="3"/>
  <c r="J68" i="3"/>
  <c r="I68" i="3"/>
  <c r="H68" i="3"/>
  <c r="K66" i="3"/>
  <c r="J66" i="3"/>
  <c r="I66" i="3"/>
  <c r="H66" i="3"/>
  <c r="Z64" i="3"/>
  <c r="Y64" i="3"/>
  <c r="X64" i="3"/>
  <c r="W64" i="3"/>
  <c r="U64" i="3"/>
  <c r="T64" i="3"/>
  <c r="S64" i="3"/>
  <c r="R64" i="3"/>
  <c r="P64" i="3"/>
  <c r="O64" i="3"/>
  <c r="N64" i="3"/>
  <c r="M64" i="3"/>
  <c r="K64" i="3"/>
  <c r="J64" i="3"/>
  <c r="I64" i="3"/>
  <c r="H64" i="3"/>
  <c r="Z62" i="3"/>
  <c r="Y62" i="3"/>
  <c r="X62" i="3"/>
  <c r="W62" i="3"/>
  <c r="U62" i="3"/>
  <c r="T62" i="3"/>
  <c r="S62" i="3"/>
  <c r="R62" i="3"/>
  <c r="P62" i="3"/>
  <c r="O62" i="3"/>
  <c r="N62" i="3"/>
  <c r="M62" i="3"/>
  <c r="K62" i="3"/>
  <c r="J62" i="3"/>
  <c r="I62" i="3"/>
  <c r="H62" i="3"/>
  <c r="Z58" i="3"/>
  <c r="Y58" i="3"/>
  <c r="X58" i="3"/>
  <c r="W58" i="3"/>
  <c r="U58" i="3"/>
  <c r="T58" i="3"/>
  <c r="S58" i="3"/>
  <c r="R58" i="3"/>
  <c r="P58" i="3"/>
  <c r="O58" i="3"/>
  <c r="N58" i="3"/>
  <c r="M58" i="3"/>
  <c r="K58" i="3"/>
  <c r="J58" i="3"/>
  <c r="I58" i="3"/>
  <c r="H58" i="3"/>
  <c r="I50" i="3"/>
  <c r="J50" i="3"/>
  <c r="K50" i="3"/>
  <c r="M50" i="3"/>
  <c r="N50" i="3"/>
  <c r="O50" i="3"/>
  <c r="P50" i="3"/>
  <c r="R50" i="3"/>
  <c r="S50" i="3"/>
  <c r="T50" i="3"/>
  <c r="U50" i="3"/>
  <c r="W50" i="3"/>
  <c r="X50" i="3"/>
  <c r="Y50" i="3"/>
  <c r="Z50" i="3"/>
  <c r="H50" i="3"/>
  <c r="Z52" i="3" l="1"/>
  <c r="AE53" i="3" s="1"/>
  <c r="W52" i="3"/>
  <c r="AB53" i="3" s="1"/>
  <c r="D52" i="3"/>
  <c r="D55" i="3" s="1"/>
  <c r="E52" i="3"/>
  <c r="E55" i="3" s="1"/>
  <c r="F52" i="3"/>
  <c r="F55" i="3" s="1"/>
  <c r="H52" i="3"/>
  <c r="I52" i="3"/>
  <c r="J52" i="3"/>
  <c r="K52" i="3"/>
  <c r="M52" i="3"/>
  <c r="N52" i="3"/>
  <c r="O52" i="3"/>
  <c r="P52" i="3"/>
  <c r="R52" i="3"/>
  <c r="S52" i="3"/>
  <c r="T52" i="3"/>
  <c r="U52" i="3"/>
  <c r="X52" i="3"/>
  <c r="AC53" i="3" s="1"/>
  <c r="Y52" i="3"/>
  <c r="AD53" i="3" s="1"/>
  <c r="C52" i="3"/>
  <c r="C55" i="3" s="1"/>
  <c r="R5" i="3"/>
  <c r="M5" i="3"/>
  <c r="K5" i="3"/>
  <c r="Z32" i="3"/>
  <c r="AE33" i="3" s="1"/>
  <c r="Y32" i="3"/>
  <c r="AD33" i="3" s="1"/>
  <c r="X32" i="3"/>
  <c r="AC33" i="3" s="1"/>
  <c r="W32" i="3"/>
  <c r="AB33" i="3" s="1"/>
  <c r="U32" i="3"/>
  <c r="T32" i="3"/>
  <c r="S32" i="3"/>
  <c r="R32" i="3"/>
  <c r="P32" i="3"/>
  <c r="O32" i="3"/>
  <c r="N32" i="3"/>
  <c r="M32" i="3"/>
  <c r="K32" i="3"/>
  <c r="J32" i="3"/>
  <c r="I32" i="3"/>
  <c r="H32" i="3"/>
  <c r="D32" i="3"/>
  <c r="E32" i="3"/>
  <c r="F32" i="3"/>
  <c r="C32" i="3"/>
  <c r="Z30" i="3"/>
  <c r="AE31" i="3" s="1"/>
  <c r="Y30" i="3"/>
  <c r="X30" i="3"/>
  <c r="AC31" i="3" s="1"/>
  <c r="W30" i="3"/>
  <c r="AB31" i="3" s="1"/>
  <c r="U30" i="3"/>
  <c r="S30" i="3"/>
  <c r="R30" i="3"/>
  <c r="P30" i="3"/>
  <c r="O30" i="3"/>
  <c r="T31" i="3" s="1"/>
  <c r="N30" i="3"/>
  <c r="M30" i="3"/>
  <c r="K30" i="3"/>
  <c r="J30" i="3"/>
  <c r="I30" i="3"/>
  <c r="H30" i="3"/>
  <c r="D30" i="3"/>
  <c r="E30" i="3"/>
  <c r="F30" i="3"/>
  <c r="C30" i="3"/>
  <c r="Z27" i="3"/>
  <c r="Y27" i="3"/>
  <c r="X27" i="3"/>
  <c r="W27" i="3"/>
  <c r="U27" i="3"/>
  <c r="T27" i="3"/>
  <c r="S27" i="3"/>
  <c r="R27" i="3"/>
  <c r="P27" i="3"/>
  <c r="O27" i="3"/>
  <c r="N27" i="3"/>
  <c r="M27" i="3"/>
  <c r="K27" i="3"/>
  <c r="J27" i="3"/>
  <c r="I27" i="3"/>
  <c r="H27" i="3"/>
  <c r="Z25" i="3"/>
  <c r="Y25" i="3"/>
  <c r="X25" i="3"/>
  <c r="W25" i="3"/>
  <c r="U25" i="3"/>
  <c r="T25" i="3"/>
  <c r="S25" i="3"/>
  <c r="R25" i="3"/>
  <c r="P25" i="3"/>
  <c r="O25" i="3"/>
  <c r="N25" i="3"/>
  <c r="M25" i="3"/>
  <c r="K25" i="3"/>
  <c r="J25" i="3"/>
  <c r="I25" i="3"/>
  <c r="H25" i="3"/>
  <c r="Z23" i="3"/>
  <c r="Y23" i="3"/>
  <c r="X23" i="3"/>
  <c r="W23" i="3"/>
  <c r="U23" i="3"/>
  <c r="T23" i="3"/>
  <c r="S23" i="3"/>
  <c r="R23" i="3"/>
  <c r="P23" i="3"/>
  <c r="O23" i="3"/>
  <c r="N23" i="3"/>
  <c r="M23" i="3"/>
  <c r="K23" i="3"/>
  <c r="J23" i="3"/>
  <c r="I23" i="3"/>
  <c r="H23" i="3"/>
  <c r="Z19" i="3"/>
  <c r="Y19" i="3"/>
  <c r="X19" i="3"/>
  <c r="W19" i="3"/>
  <c r="U19" i="3"/>
  <c r="T19" i="3"/>
  <c r="S19" i="3"/>
  <c r="R19" i="3"/>
  <c r="P19" i="3"/>
  <c r="O19" i="3"/>
  <c r="N19" i="3"/>
  <c r="M19" i="3"/>
  <c r="I19" i="3"/>
  <c r="J19" i="3"/>
  <c r="K19" i="3"/>
  <c r="H19" i="3"/>
  <c r="Z15" i="3"/>
  <c r="Y15" i="3"/>
  <c r="X15" i="3"/>
  <c r="W15" i="3"/>
  <c r="U15" i="3"/>
  <c r="T15" i="3"/>
  <c r="S15" i="3"/>
  <c r="R15" i="3"/>
  <c r="P15" i="3"/>
  <c r="O15" i="3"/>
  <c r="N15" i="3"/>
  <c r="M15" i="3"/>
  <c r="I15" i="3"/>
  <c r="J15" i="3"/>
  <c r="K15" i="3"/>
  <c r="H15" i="3"/>
  <c r="Z17" i="3"/>
  <c r="Y17" i="3"/>
  <c r="X17" i="3"/>
  <c r="W17" i="3"/>
  <c r="U17" i="3"/>
  <c r="T17" i="3"/>
  <c r="S17" i="3"/>
  <c r="R17" i="3"/>
  <c r="P17" i="3"/>
  <c r="O17" i="3"/>
  <c r="N17" i="3"/>
  <c r="M17" i="3"/>
  <c r="I17" i="3"/>
  <c r="J17" i="3"/>
  <c r="K17" i="3"/>
  <c r="H17" i="3"/>
  <c r="U9" i="2"/>
  <c r="T9" i="2"/>
  <c r="S9" i="2"/>
  <c r="R9" i="2"/>
  <c r="O9" i="2"/>
  <c r="N9" i="2"/>
  <c r="M9" i="2"/>
  <c r="K9" i="2"/>
  <c r="J9" i="2"/>
  <c r="I9" i="2"/>
  <c r="H9" i="2"/>
  <c r="F9" i="2"/>
  <c r="F11" i="2" s="1"/>
  <c r="E9" i="2"/>
  <c r="E11" i="2" s="1"/>
  <c r="D9" i="2"/>
  <c r="D11" i="2" s="1"/>
  <c r="D82" i="2" l="1"/>
  <c r="D90" i="2" s="1"/>
  <c r="D97" i="2" s="1"/>
  <c r="D109" i="2" s="1"/>
  <c r="D61" i="2"/>
  <c r="D75" i="2" s="1"/>
  <c r="E82" i="2"/>
  <c r="E90" i="2" s="1"/>
  <c r="E97" i="2" s="1"/>
  <c r="E109" i="2" s="1"/>
  <c r="E61" i="2"/>
  <c r="E75" i="2" s="1"/>
  <c r="F82" i="2"/>
  <c r="F90" i="2" s="1"/>
  <c r="F97" i="2" s="1"/>
  <c r="F109" i="2" s="1"/>
  <c r="F61" i="2"/>
  <c r="F75" i="2" s="1"/>
  <c r="F89" i="2"/>
  <c r="F151" i="2"/>
  <c r="D89" i="2"/>
  <c r="D151" i="2"/>
  <c r="E89" i="2"/>
  <c r="E151" i="2"/>
  <c r="E59" i="2"/>
  <c r="E80" i="2"/>
  <c r="D59" i="2"/>
  <c r="D80" i="2"/>
  <c r="F59" i="2"/>
  <c r="F80" i="2"/>
  <c r="D21" i="2"/>
  <c r="D155" i="2" s="1"/>
  <c r="D64" i="2"/>
  <c r="E21" i="2"/>
  <c r="E155" i="2" s="1"/>
  <c r="E64" i="2"/>
  <c r="F21" i="2"/>
  <c r="F155" i="2" s="1"/>
  <c r="F64" i="2"/>
  <c r="AC12" i="2"/>
  <c r="M11" i="2"/>
  <c r="M61" i="2" s="1"/>
  <c r="M75" i="2" s="1"/>
  <c r="M90" i="3"/>
  <c r="M96" i="3"/>
  <c r="N11" i="2"/>
  <c r="N61" i="2" s="1"/>
  <c r="N75" i="2" s="1"/>
  <c r="N90" i="3"/>
  <c r="N96" i="3"/>
  <c r="S11" i="2"/>
  <c r="S61" i="2" s="1"/>
  <c r="S75" i="2" s="1"/>
  <c r="S96" i="3"/>
  <c r="S90" i="3"/>
  <c r="O11" i="2"/>
  <c r="O61" i="2" s="1"/>
  <c r="O75" i="2" s="1"/>
  <c r="O90" i="3"/>
  <c r="O96" i="3"/>
  <c r="T11" i="2"/>
  <c r="T96" i="3"/>
  <c r="T90" i="3"/>
  <c r="R11" i="2"/>
  <c r="R90" i="3"/>
  <c r="R96" i="3"/>
  <c r="H11" i="2"/>
  <c r="H61" i="2" s="1"/>
  <c r="H75" i="2" s="1"/>
  <c r="H90" i="3"/>
  <c r="H96" i="3"/>
  <c r="I11" i="2"/>
  <c r="I61" i="2" s="1"/>
  <c r="I75" i="2" s="1"/>
  <c r="I90" i="3"/>
  <c r="I96" i="3"/>
  <c r="J11" i="2"/>
  <c r="J61" i="2" s="1"/>
  <c r="J75" i="2" s="1"/>
  <c r="J96" i="3"/>
  <c r="J90" i="3"/>
  <c r="U11" i="2"/>
  <c r="U96" i="3"/>
  <c r="U90" i="3"/>
  <c r="K11" i="2"/>
  <c r="K61" i="2" s="1"/>
  <c r="K75" i="2" s="1"/>
  <c r="K96" i="3"/>
  <c r="K90" i="3"/>
  <c r="W90" i="3"/>
  <c r="W96" i="3"/>
  <c r="M31" i="3"/>
  <c r="N33" i="3"/>
  <c r="M33" i="3"/>
  <c r="N31" i="3"/>
  <c r="T33" i="3"/>
  <c r="E34" i="3"/>
  <c r="E7" i="3" s="1"/>
  <c r="E10" i="3" s="1"/>
  <c r="P9" i="2"/>
  <c r="Y31" i="3"/>
  <c r="AD31" i="3"/>
  <c r="F19" i="2"/>
  <c r="F16" i="2"/>
  <c r="F26" i="2"/>
  <c r="F30" i="2" s="1"/>
  <c r="D16" i="2"/>
  <c r="D19" i="2"/>
  <c r="D26" i="2"/>
  <c r="D30" i="2" s="1"/>
  <c r="E19" i="2"/>
  <c r="E16" i="2"/>
  <c r="E26" i="2"/>
  <c r="E30" i="2" s="1"/>
  <c r="X19" i="2"/>
  <c r="X26" i="2"/>
  <c r="X16" i="2"/>
  <c r="O33" i="3"/>
  <c r="K31" i="3"/>
  <c r="P33" i="3"/>
  <c r="I55" i="3"/>
  <c r="I53" i="3"/>
  <c r="P31" i="3"/>
  <c r="R31" i="3"/>
  <c r="P53" i="3"/>
  <c r="P55" i="3"/>
  <c r="O53" i="3"/>
  <c r="O55" i="3"/>
  <c r="D34" i="3"/>
  <c r="D7" i="3" s="1"/>
  <c r="D10" i="3" s="1"/>
  <c r="Z31" i="3"/>
  <c r="Y55" i="3"/>
  <c r="Y53" i="3"/>
  <c r="H31" i="3"/>
  <c r="R34" i="3"/>
  <c r="R7" i="3" s="1"/>
  <c r="C34" i="3"/>
  <c r="C7" i="3" s="1"/>
  <c r="R33" i="3"/>
  <c r="W33" i="3"/>
  <c r="X55" i="3"/>
  <c r="X53" i="3"/>
  <c r="M53" i="3"/>
  <c r="M55" i="3"/>
  <c r="W55" i="3"/>
  <c r="W53" i="3"/>
  <c r="R53" i="3"/>
  <c r="R55" i="3"/>
  <c r="H55" i="3"/>
  <c r="H53" i="3"/>
  <c r="S31" i="3"/>
  <c r="P34" i="3"/>
  <c r="P7" i="3" s="1"/>
  <c r="U33" i="3"/>
  <c r="N55" i="3"/>
  <c r="N53" i="3"/>
  <c r="X33" i="3"/>
  <c r="U53" i="3"/>
  <c r="U55" i="3"/>
  <c r="K53" i="3"/>
  <c r="K55" i="3"/>
  <c r="Z53" i="3"/>
  <c r="Z55" i="3"/>
  <c r="S55" i="3"/>
  <c r="S53" i="3"/>
  <c r="T34" i="3"/>
  <c r="T7" i="3" s="1"/>
  <c r="T55" i="3"/>
  <c r="T53" i="3"/>
  <c r="J53" i="3"/>
  <c r="J55" i="3"/>
  <c r="P5" i="3"/>
  <c r="O5" i="3"/>
  <c r="S5" i="3"/>
  <c r="Z33" i="3"/>
  <c r="T5" i="3"/>
  <c r="H33" i="3"/>
  <c r="M34" i="3"/>
  <c r="M7" i="3" s="1"/>
  <c r="U5" i="3"/>
  <c r="I33" i="3"/>
  <c r="N34" i="3"/>
  <c r="N7" i="3" s="1"/>
  <c r="W5" i="3"/>
  <c r="J31" i="3"/>
  <c r="J33" i="3"/>
  <c r="O34" i="3"/>
  <c r="O7" i="3" s="1"/>
  <c r="X5" i="3"/>
  <c r="K33" i="3"/>
  <c r="Y5" i="3"/>
  <c r="Z5" i="3"/>
  <c r="I31" i="3"/>
  <c r="U34" i="3"/>
  <c r="U7" i="3" s="1"/>
  <c r="U31" i="3"/>
  <c r="J5" i="3"/>
  <c r="Y33" i="3"/>
  <c r="W31" i="3"/>
  <c r="N5" i="3"/>
  <c r="I5" i="3"/>
  <c r="F34" i="3"/>
  <c r="F7" i="3" s="1"/>
  <c r="F10" i="3" s="1"/>
  <c r="X31" i="3"/>
  <c r="S33" i="3"/>
  <c r="O31" i="3"/>
  <c r="S34" i="3"/>
  <c r="W34" i="3"/>
  <c r="X34" i="3"/>
  <c r="Y34" i="3"/>
  <c r="H34" i="3"/>
  <c r="Z34" i="3"/>
  <c r="Z7" i="3" s="1"/>
  <c r="I34" i="3"/>
  <c r="J34" i="3"/>
  <c r="K34" i="3"/>
  <c r="F110" i="2" l="1"/>
  <c r="E110" i="2"/>
  <c r="T82" i="2"/>
  <c r="T90" i="2" s="1"/>
  <c r="T97" i="2" s="1"/>
  <c r="T109" i="2" s="1"/>
  <c r="T61" i="2"/>
  <c r="T75" i="2" s="1"/>
  <c r="R82" i="2"/>
  <c r="R90" i="2" s="1"/>
  <c r="R97" i="2" s="1"/>
  <c r="R109" i="2" s="1"/>
  <c r="R61" i="2"/>
  <c r="R75" i="2" s="1"/>
  <c r="U82" i="2"/>
  <c r="U90" i="2" s="1"/>
  <c r="U97" i="2" s="1"/>
  <c r="U109" i="2" s="1"/>
  <c r="U61" i="2"/>
  <c r="U75" i="2" s="1"/>
  <c r="D110" i="2"/>
  <c r="O151" i="2"/>
  <c r="O82" i="2"/>
  <c r="O90" i="2" s="1"/>
  <c r="O97" i="2" s="1"/>
  <c r="I151" i="2"/>
  <c r="I82" i="2"/>
  <c r="I90" i="2" s="1"/>
  <c r="I97" i="2" s="1"/>
  <c r="N151" i="2"/>
  <c r="N82" i="2"/>
  <c r="N90" i="2" s="1"/>
  <c r="N97" i="2" s="1"/>
  <c r="M151" i="2"/>
  <c r="M82" i="2"/>
  <c r="M90" i="2" s="1"/>
  <c r="M97" i="2" s="1"/>
  <c r="J151" i="2"/>
  <c r="J82" i="2"/>
  <c r="J90" i="2" s="1"/>
  <c r="J97" i="2" s="1"/>
  <c r="S151" i="2"/>
  <c r="S82" i="2"/>
  <c r="S90" i="2" s="1"/>
  <c r="S97" i="2" s="1"/>
  <c r="H151" i="2"/>
  <c r="H82" i="2"/>
  <c r="H90" i="2" s="1"/>
  <c r="H97" i="2" s="1"/>
  <c r="K151" i="2"/>
  <c r="K82" i="2"/>
  <c r="K90" i="2" s="1"/>
  <c r="K97" i="2" s="1"/>
  <c r="K109" i="2" s="1"/>
  <c r="K110" i="2" s="1"/>
  <c r="U89" i="2"/>
  <c r="U151" i="2"/>
  <c r="T89" i="2"/>
  <c r="T151" i="2"/>
  <c r="R89" i="2"/>
  <c r="R151" i="2"/>
  <c r="O80" i="2"/>
  <c r="O89" i="2"/>
  <c r="J80" i="2"/>
  <c r="J89" i="2"/>
  <c r="M80" i="2"/>
  <c r="M89" i="2"/>
  <c r="K80" i="2"/>
  <c r="K89" i="2"/>
  <c r="S80" i="2"/>
  <c r="S89" i="2"/>
  <c r="H80" i="2"/>
  <c r="H89" i="2"/>
  <c r="I80" i="2"/>
  <c r="I89" i="2"/>
  <c r="N80" i="2"/>
  <c r="N89" i="2"/>
  <c r="R59" i="2"/>
  <c r="R80" i="2"/>
  <c r="T59" i="2"/>
  <c r="T80" i="2"/>
  <c r="U59" i="2"/>
  <c r="U80" i="2"/>
  <c r="M64" i="2"/>
  <c r="M59" i="2"/>
  <c r="S64" i="2"/>
  <c r="S59" i="2"/>
  <c r="J64" i="2"/>
  <c r="J59" i="2"/>
  <c r="K64" i="2"/>
  <c r="K59" i="2"/>
  <c r="N64" i="2"/>
  <c r="N59" i="2"/>
  <c r="H64" i="2"/>
  <c r="H59" i="2"/>
  <c r="I64" i="2"/>
  <c r="I59" i="2"/>
  <c r="O64" i="2"/>
  <c r="O59" i="2"/>
  <c r="T21" i="2"/>
  <c r="T155" i="2" s="1"/>
  <c r="T64" i="2"/>
  <c r="R21" i="2"/>
  <c r="R155" i="2" s="1"/>
  <c r="R64" i="2"/>
  <c r="U21" i="2"/>
  <c r="U155" i="2" s="1"/>
  <c r="U64" i="2"/>
  <c r="X30" i="2"/>
  <c r="X31" i="2" s="1"/>
  <c r="AC28" i="2"/>
  <c r="X12" i="2"/>
  <c r="S21" i="2"/>
  <c r="S155" i="2" s="1"/>
  <c r="I12" i="2"/>
  <c r="I21" i="2"/>
  <c r="I155" i="2" s="1"/>
  <c r="N16" i="2"/>
  <c r="N21" i="2"/>
  <c r="N155" i="2" s="1"/>
  <c r="H19" i="2"/>
  <c r="H21" i="2"/>
  <c r="H155" i="2" s="1"/>
  <c r="K16" i="2"/>
  <c r="K21" i="2"/>
  <c r="K155" i="2" s="1"/>
  <c r="O16" i="2"/>
  <c r="O21" i="2"/>
  <c r="O155" i="2" s="1"/>
  <c r="J16" i="2"/>
  <c r="J21" i="2"/>
  <c r="J155" i="2" s="1"/>
  <c r="M16" i="2"/>
  <c r="M21" i="2"/>
  <c r="M155" i="2" s="1"/>
  <c r="N19" i="2"/>
  <c r="M98" i="3"/>
  <c r="Q7" i="3"/>
  <c r="Z98" i="3"/>
  <c r="AE99" i="3" s="1"/>
  <c r="AE8" i="3"/>
  <c r="AE5" i="2" s="1"/>
  <c r="R10" i="3"/>
  <c r="R98" i="3"/>
  <c r="R99" i="3" s="1"/>
  <c r="T16" i="2"/>
  <c r="Y12" i="2"/>
  <c r="W16" i="2"/>
  <c r="W12" i="2"/>
  <c r="AB12" i="2"/>
  <c r="U10" i="3"/>
  <c r="U98" i="3"/>
  <c r="U99" i="3" s="1"/>
  <c r="T10" i="3"/>
  <c r="T98" i="3"/>
  <c r="O10" i="3"/>
  <c r="T11" i="3" s="1"/>
  <c r="O98" i="3"/>
  <c r="N26" i="2"/>
  <c r="P10" i="3"/>
  <c r="P98" i="3"/>
  <c r="U19" i="2"/>
  <c r="Z12" i="2"/>
  <c r="N10" i="3"/>
  <c r="N98" i="3"/>
  <c r="M26" i="2"/>
  <c r="M19" i="2"/>
  <c r="W19" i="2"/>
  <c r="U26" i="2"/>
  <c r="S12" i="2"/>
  <c r="J19" i="2"/>
  <c r="J26" i="2"/>
  <c r="O19" i="2"/>
  <c r="O12" i="2"/>
  <c r="W26" i="2"/>
  <c r="U16" i="2"/>
  <c r="I26" i="2"/>
  <c r="H26" i="2"/>
  <c r="K12" i="2"/>
  <c r="H16" i="2"/>
  <c r="I16" i="2"/>
  <c r="R12" i="2"/>
  <c r="M12" i="2"/>
  <c r="O26" i="2"/>
  <c r="J12" i="2"/>
  <c r="T19" i="2"/>
  <c r="S16" i="2"/>
  <c r="N12" i="2"/>
  <c r="T26" i="2"/>
  <c r="I19" i="2"/>
  <c r="R19" i="2"/>
  <c r="S19" i="2"/>
  <c r="K26" i="2"/>
  <c r="R16" i="2"/>
  <c r="S26" i="2"/>
  <c r="X28" i="2" s="1"/>
  <c r="P11" i="2"/>
  <c r="P90" i="3"/>
  <c r="P96" i="3"/>
  <c r="T12" i="2"/>
  <c r="K19" i="2"/>
  <c r="R26" i="2"/>
  <c r="Z8" i="3"/>
  <c r="Z10" i="3"/>
  <c r="Z11" i="3" s="1"/>
  <c r="Y7" i="3"/>
  <c r="Y98" i="3" s="1"/>
  <c r="X7" i="3"/>
  <c r="X98" i="3" s="1"/>
  <c r="T8" i="3"/>
  <c r="E27" i="2"/>
  <c r="E31" i="2"/>
  <c r="E38" i="2"/>
  <c r="F27" i="2"/>
  <c r="F31" i="2"/>
  <c r="F38" i="2"/>
  <c r="X27" i="2"/>
  <c r="X38" i="2"/>
  <c r="D27" i="2"/>
  <c r="D31" i="2"/>
  <c r="D38" i="2"/>
  <c r="R8" i="3"/>
  <c r="U8" i="3"/>
  <c r="U11" i="3"/>
  <c r="H7" i="3"/>
  <c r="W7" i="3"/>
  <c r="M10" i="3"/>
  <c r="S7" i="3"/>
  <c r="S98" i="3" s="1"/>
  <c r="K7" i="3"/>
  <c r="K98" i="3" s="1"/>
  <c r="K99" i="3" s="1"/>
  <c r="J7" i="3"/>
  <c r="J98" i="3" s="1"/>
  <c r="J99" i="3" s="1"/>
  <c r="I7" i="3"/>
  <c r="I98" i="3" s="1"/>
  <c r="I99" i="3" s="1"/>
  <c r="I109" i="2" l="1"/>
  <c r="I110" i="2" s="1"/>
  <c r="O109" i="2"/>
  <c r="O110" i="2" s="1"/>
  <c r="H109" i="2"/>
  <c r="H110" i="2" s="1"/>
  <c r="N109" i="2"/>
  <c r="N110" i="2" s="1"/>
  <c r="J109" i="2"/>
  <c r="J110" i="2" s="1"/>
  <c r="S109" i="2"/>
  <c r="S110" i="2" s="1"/>
  <c r="M109" i="2"/>
  <c r="M110" i="2" s="1"/>
  <c r="R110" i="2"/>
  <c r="U110" i="2"/>
  <c r="P82" i="2"/>
  <c r="P90" i="2" s="1"/>
  <c r="P97" i="2" s="1"/>
  <c r="P109" i="2" s="1"/>
  <c r="P61" i="2"/>
  <c r="P75" i="2" s="1"/>
  <c r="T110" i="2"/>
  <c r="P89" i="2"/>
  <c r="P151" i="2"/>
  <c r="P59" i="2"/>
  <c r="P80" i="2"/>
  <c r="P26" i="2"/>
  <c r="P27" i="2" s="1"/>
  <c r="P64" i="2"/>
  <c r="AE9" i="2"/>
  <c r="AE96" i="3" s="1"/>
  <c r="AF5" i="2"/>
  <c r="AF9" i="2" s="1"/>
  <c r="I30" i="2"/>
  <c r="I31" i="2" s="1"/>
  <c r="I28" i="2"/>
  <c r="W30" i="2"/>
  <c r="W31" i="2" s="1"/>
  <c r="W28" i="2"/>
  <c r="AB28" i="2"/>
  <c r="U30" i="2"/>
  <c r="U31" i="2" s="1"/>
  <c r="Z28" i="2"/>
  <c r="N30" i="2"/>
  <c r="N31" i="2" s="1"/>
  <c r="N28" i="2"/>
  <c r="T30" i="2"/>
  <c r="T31" i="2" s="1"/>
  <c r="T28" i="2"/>
  <c r="K30" i="2"/>
  <c r="K31" i="2" s="1"/>
  <c r="K28" i="2"/>
  <c r="O30" i="2"/>
  <c r="O31" i="2" s="1"/>
  <c r="O28" i="2"/>
  <c r="J30" i="2"/>
  <c r="J31" i="2" s="1"/>
  <c r="J28" i="2"/>
  <c r="R30" i="2"/>
  <c r="R31" i="2" s="1"/>
  <c r="R28" i="2"/>
  <c r="M30" i="2"/>
  <c r="M31" i="2" s="1"/>
  <c r="M28" i="2"/>
  <c r="S30" i="2"/>
  <c r="S31" i="2" s="1"/>
  <c r="S28" i="2"/>
  <c r="H30" i="2"/>
  <c r="H31" i="2" s="1"/>
  <c r="P12" i="2"/>
  <c r="P21" i="2"/>
  <c r="P155" i="2" s="1"/>
  <c r="S27" i="2"/>
  <c r="H27" i="2"/>
  <c r="J27" i="2"/>
  <c r="K27" i="2"/>
  <c r="O27" i="2"/>
  <c r="W38" i="2"/>
  <c r="I27" i="2"/>
  <c r="M38" i="2"/>
  <c r="T27" i="2"/>
  <c r="R11" i="3"/>
  <c r="N99" i="3"/>
  <c r="N27" i="2"/>
  <c r="T99" i="3"/>
  <c r="AA7" i="3"/>
  <c r="H38" i="2"/>
  <c r="V7" i="3"/>
  <c r="I38" i="2"/>
  <c r="I43" i="2" s="1"/>
  <c r="U38" i="2"/>
  <c r="U43" i="2" s="1"/>
  <c r="U27" i="2"/>
  <c r="X99" i="3"/>
  <c r="AC99" i="3"/>
  <c r="O99" i="3"/>
  <c r="M8" i="3"/>
  <c r="H98" i="3"/>
  <c r="S99" i="3"/>
  <c r="Y99" i="3"/>
  <c r="AD99" i="3"/>
  <c r="P99" i="3"/>
  <c r="AB8" i="3"/>
  <c r="W98" i="3"/>
  <c r="N38" i="2"/>
  <c r="N43" i="2" s="1"/>
  <c r="Z99" i="3"/>
  <c r="J38" i="2"/>
  <c r="J43" i="2" s="1"/>
  <c r="O38" i="2"/>
  <c r="O41" i="2" s="1"/>
  <c r="M27" i="2"/>
  <c r="T38" i="2"/>
  <c r="T43" i="2" s="1"/>
  <c r="W27" i="2"/>
  <c r="P16" i="2"/>
  <c r="P19" i="2"/>
  <c r="U12" i="2"/>
  <c r="S38" i="2"/>
  <c r="S43" i="2" s="1"/>
  <c r="R38" i="2"/>
  <c r="R27" i="2"/>
  <c r="K38" i="2"/>
  <c r="K43" i="2" s="1"/>
  <c r="X8" i="3"/>
  <c r="X10" i="3"/>
  <c r="AC8" i="3"/>
  <c r="Y8" i="3"/>
  <c r="Y10" i="3"/>
  <c r="AD8" i="3"/>
  <c r="F43" i="2"/>
  <c r="F41" i="2"/>
  <c r="E41" i="2"/>
  <c r="E43" i="2"/>
  <c r="D41" i="2"/>
  <c r="D43" i="2"/>
  <c r="X41" i="2"/>
  <c r="X43" i="2"/>
  <c r="X45" i="2" s="1"/>
  <c r="AC46" i="2" s="1"/>
  <c r="S10" i="3"/>
  <c r="S11" i="3" s="1"/>
  <c r="S8" i="3"/>
  <c r="K10" i="3"/>
  <c r="P8" i="3"/>
  <c r="K8" i="3"/>
  <c r="H8" i="3"/>
  <c r="H10" i="3"/>
  <c r="W10" i="3"/>
  <c r="W8" i="3"/>
  <c r="I8" i="3"/>
  <c r="I10" i="3"/>
  <c r="N8" i="3"/>
  <c r="J8" i="3"/>
  <c r="O8" i="3"/>
  <c r="J10" i="3"/>
  <c r="P110" i="2" l="1"/>
  <c r="AE90" i="3"/>
  <c r="R43" i="2"/>
  <c r="V43" i="2" s="1"/>
  <c r="V38" i="2"/>
  <c r="V41" i="2" s="1"/>
  <c r="H43" i="2"/>
  <c r="L43" i="2" s="1"/>
  <c r="L38" i="2"/>
  <c r="L41" i="2" s="1"/>
  <c r="W41" i="2"/>
  <c r="M43" i="2"/>
  <c r="M45" i="2" s="1"/>
  <c r="W43" i="2"/>
  <c r="W45" i="2" s="1"/>
  <c r="P30" i="2"/>
  <c r="P31" i="2" s="1"/>
  <c r="P28" i="2"/>
  <c r="U28" i="2"/>
  <c r="M41" i="2"/>
  <c r="P38" i="2"/>
  <c r="P41" i="2" s="1"/>
  <c r="AF8" i="3"/>
  <c r="AA8" i="3"/>
  <c r="AM9" i="3"/>
  <c r="V8" i="3"/>
  <c r="J41" i="2"/>
  <c r="I41" i="2"/>
  <c r="N41" i="2"/>
  <c r="H41" i="2"/>
  <c r="T41" i="2"/>
  <c r="W99" i="3"/>
  <c r="AB99" i="3"/>
  <c r="H99" i="3"/>
  <c r="M99" i="3"/>
  <c r="O43" i="2"/>
  <c r="O45" i="2" s="1"/>
  <c r="S41" i="2"/>
  <c r="K41" i="2"/>
  <c r="R41" i="2"/>
  <c r="X11" i="3"/>
  <c r="AC11" i="3"/>
  <c r="AD11" i="3"/>
  <c r="Y11" i="3"/>
  <c r="W11" i="3"/>
  <c r="AB11" i="3"/>
  <c r="D45" i="2"/>
  <c r="F45" i="2"/>
  <c r="U45" i="2"/>
  <c r="Z46" i="2" s="1"/>
  <c r="N45" i="2"/>
  <c r="J45" i="2"/>
  <c r="E45" i="2"/>
  <c r="I45" i="2"/>
  <c r="K45" i="2"/>
  <c r="S45" i="2"/>
  <c r="U41" i="2"/>
  <c r="T45" i="2"/>
  <c r="N11" i="3"/>
  <c r="I11" i="3"/>
  <c r="M11" i="3"/>
  <c r="O11" i="3"/>
  <c r="J11" i="3"/>
  <c r="P11" i="3"/>
  <c r="K11" i="3"/>
  <c r="H45" i="2" l="1"/>
  <c r="L45" i="2" s="1"/>
  <c r="Q38" i="2"/>
  <c r="Q41" i="2" s="1"/>
  <c r="R45" i="2"/>
  <c r="R46" i="2" s="1"/>
  <c r="AB46" i="2"/>
  <c r="P43" i="2"/>
  <c r="P45" i="2" s="1"/>
  <c r="Q45" i="2" s="1"/>
  <c r="J46" i="2"/>
  <c r="S46" i="2"/>
  <c r="T46" i="2"/>
  <c r="N46" i="2"/>
  <c r="K46" i="2"/>
  <c r="O46" i="2"/>
  <c r="I46" i="2"/>
  <c r="X46" i="2"/>
  <c r="Q46" i="2" l="1"/>
  <c r="M46" i="2"/>
  <c r="W46" i="2"/>
  <c r="V45" i="2"/>
  <c r="V46" i="2" s="1"/>
  <c r="Q43" i="2"/>
  <c r="U46" i="2"/>
  <c r="P46" i="2"/>
  <c r="C10" i="3"/>
  <c r="H11" i="3" s="1"/>
  <c r="C9" i="2"/>
  <c r="C11" i="2" s="1"/>
  <c r="H5" i="3"/>
  <c r="C61" i="2" l="1"/>
  <c r="C75" i="2" s="1"/>
  <c r="C26" i="2"/>
  <c r="C151" i="2"/>
  <c r="C82" i="2"/>
  <c r="C90" i="2" s="1"/>
  <c r="C97" i="2" s="1"/>
  <c r="C80" i="2"/>
  <c r="C89" i="2"/>
  <c r="C64" i="2"/>
  <c r="C59" i="2"/>
  <c r="C21" i="2"/>
  <c r="C155" i="2" s="1"/>
  <c r="H12" i="2"/>
  <c r="C19" i="2"/>
  <c r="C16" i="2"/>
  <c r="C109" i="2" l="1"/>
  <c r="C110" i="2" s="1"/>
  <c r="C30" i="2"/>
  <c r="C31" i="2" s="1"/>
  <c r="H28" i="2"/>
  <c r="C27" i="2"/>
  <c r="C38" i="2"/>
  <c r="G38" i="2" s="1"/>
  <c r="G41" i="2" s="1"/>
  <c r="C43" i="2" l="1"/>
  <c r="G43" i="2" s="1"/>
  <c r="C41" i="2"/>
  <c r="C45" i="2" l="1"/>
  <c r="G45" i="2" s="1"/>
  <c r="L46" i="2" s="1"/>
  <c r="H46" i="2" l="1"/>
  <c r="Y17" i="2" l="1"/>
  <c r="Y16" i="2"/>
  <c r="Y19" i="2"/>
  <c r="Y26" i="2"/>
  <c r="Y30" i="2" l="1"/>
  <c r="Y31" i="2" s="1"/>
  <c r="Y28" i="2"/>
  <c r="AD28" i="2"/>
  <c r="Y38" i="2"/>
  <c r="Y27" i="2"/>
  <c r="Y41" i="2" l="1"/>
  <c r="AA38" i="2"/>
  <c r="AA41" i="2" s="1"/>
  <c r="Y43" i="2"/>
  <c r="Y45" i="2" l="1"/>
  <c r="Y46" i="2" s="1"/>
  <c r="AA43" i="2"/>
  <c r="AJ10" i="3"/>
  <c r="AD46" i="2" l="1"/>
  <c r="AA45" i="2"/>
  <c r="AA46" i="2" s="1"/>
  <c r="AE5" i="3"/>
  <c r="AF4" i="3"/>
  <c r="AF5" i="3" s="1"/>
  <c r="AJ4" i="3"/>
  <c r="AJ5" i="2" s="1"/>
  <c r="AJ9" i="2" l="1"/>
  <c r="AJ96" i="3" s="1"/>
  <c r="AK5" i="2"/>
  <c r="AK9" i="2" s="1"/>
  <c r="AJ5" i="3"/>
  <c r="AK4" i="3"/>
  <c r="AK5" i="3" s="1"/>
  <c r="AG41" i="3"/>
  <c r="AH41" i="3"/>
  <c r="AI41" i="3"/>
  <c r="AE10" i="2"/>
  <c r="AH10" i="2"/>
  <c r="AH11" i="2" s="1"/>
  <c r="AH63" i="2" s="1"/>
  <c r="AI10" i="2"/>
  <c r="AI11" i="2" s="1"/>
  <c r="AI63" i="2" s="1"/>
  <c r="AH95" i="3"/>
  <c r="AI95" i="3"/>
  <c r="AJ10" i="2"/>
  <c r="AJ95" i="3"/>
  <c r="AH150" i="2" l="1"/>
  <c r="AH81" i="2"/>
  <c r="AH60" i="2"/>
  <c r="AH88" i="2"/>
  <c r="AI150" i="2"/>
  <c r="AI81" i="2"/>
  <c r="AI88" i="2"/>
  <c r="AI60" i="2"/>
  <c r="AI58" i="2"/>
  <c r="AI79" i="2"/>
  <c r="AH58" i="2"/>
  <c r="AH79" i="2"/>
  <c r="AJ11" i="2"/>
  <c r="AJ63" i="2" s="1"/>
  <c r="AJ90" i="3"/>
  <c r="AE11" i="2"/>
  <c r="AF10" i="2"/>
  <c r="AF11" i="2" s="1"/>
  <c r="AH18" i="2"/>
  <c r="AI18" i="2"/>
  <c r="AI12" i="2"/>
  <c r="AI15" i="2"/>
  <c r="AH12" i="2"/>
  <c r="AH15" i="2"/>
  <c r="AE80" i="2" l="1"/>
  <c r="AE61" i="2"/>
  <c r="AE59" i="2"/>
  <c r="AE82" i="2"/>
  <c r="AE16" i="2"/>
  <c r="AE89" i="2"/>
  <c r="AE64" i="2"/>
  <c r="AE19" i="2"/>
  <c r="AE21" i="2"/>
  <c r="AI124" i="2"/>
  <c r="AI128" i="2" s="1"/>
  <c r="AH124" i="2"/>
  <c r="AH128" i="2" s="1"/>
  <c r="AI119" i="2"/>
  <c r="AI157" i="2"/>
  <c r="AI120" i="2" s="1"/>
  <c r="AI90" i="2"/>
  <c r="BG5" i="2"/>
  <c r="I3" i="5" s="1"/>
  <c r="I4" i="5" s="1"/>
  <c r="AJ79" i="2"/>
  <c r="AJ60" i="2"/>
  <c r="AJ150" i="2"/>
  <c r="AJ88" i="2"/>
  <c r="AJ119" i="2" s="1"/>
  <c r="AJ81" i="2"/>
  <c r="AH90" i="2"/>
  <c r="AF15" i="2"/>
  <c r="AF17" i="2" s="1"/>
  <c r="AJ15" i="2"/>
  <c r="AJ58" i="2"/>
  <c r="AE12" i="2"/>
  <c r="AJ18" i="2"/>
  <c r="AF18" i="2"/>
  <c r="AF19" i="2" s="1"/>
  <c r="AF12" i="2"/>
  <c r="AF21" i="2"/>
  <c r="AF155" i="2" s="1"/>
  <c r="AJ12" i="2"/>
  <c r="AI17" i="2"/>
  <c r="AI23" i="2"/>
  <c r="AI26" i="2" s="1"/>
  <c r="AI38" i="2" s="1"/>
  <c r="AH17" i="2"/>
  <c r="AH23" i="2"/>
  <c r="AH26" i="2" s="1"/>
  <c r="AH38" i="2" s="1"/>
  <c r="AJ157" i="2" l="1"/>
  <c r="AJ120" i="2" s="1"/>
  <c r="AJ124" i="2"/>
  <c r="AJ128" i="2" s="1"/>
  <c r="AF124" i="2"/>
  <c r="AJ90" i="2"/>
  <c r="AE90" i="2"/>
  <c r="AF150" i="2"/>
  <c r="AJ17" i="2"/>
  <c r="AF16" i="2"/>
  <c r="AJ23" i="2"/>
  <c r="AJ26" i="2" s="1"/>
  <c r="AJ27" i="2" s="1"/>
  <c r="AE17" i="2"/>
  <c r="AF23" i="2"/>
  <c r="AF24" i="2" s="1"/>
  <c r="AE23" i="2"/>
  <c r="AE26" i="2" s="1"/>
  <c r="AE38" i="2" s="1"/>
  <c r="AE40" i="2" s="1"/>
  <c r="AE93" i="2" s="1"/>
  <c r="AI40" i="2"/>
  <c r="AH40" i="2"/>
  <c r="AI27" i="2"/>
  <c r="AI28" i="2"/>
  <c r="AI30" i="2"/>
  <c r="AI31" i="2" s="1"/>
  <c r="AH27" i="2"/>
  <c r="AH30" i="2"/>
  <c r="AH31" i="2" s="1"/>
  <c r="AH28" i="2"/>
  <c r="AF38" i="2" l="1"/>
  <c r="AE43" i="2"/>
  <c r="AJ38" i="2"/>
  <c r="AJ40" i="2" s="1"/>
  <c r="AH43" i="2"/>
  <c r="AH92" i="2"/>
  <c r="AH97" i="2" s="1"/>
  <c r="BG10" i="2"/>
  <c r="I14" i="5" s="1"/>
  <c r="I15" i="5" s="1"/>
  <c r="AF151" i="2"/>
  <c r="AJ30" i="2"/>
  <c r="AJ31" i="2" s="1"/>
  <c r="AI43" i="2"/>
  <c r="AI92" i="2"/>
  <c r="AI97" i="2" s="1"/>
  <c r="AE27" i="2"/>
  <c r="AJ28" i="2"/>
  <c r="AE28" i="2"/>
  <c r="AE30" i="2"/>
  <c r="AE31" i="2" s="1"/>
  <c r="AF26" i="2"/>
  <c r="AF27" i="2" s="1"/>
  <c r="AE107" i="2" l="1"/>
  <c r="AH45" i="2"/>
  <c r="AH46" i="2" s="1"/>
  <c r="AH116" i="2"/>
  <c r="AI45" i="2"/>
  <c r="AI46" i="2" s="1"/>
  <c r="AI116" i="2"/>
  <c r="AI121" i="2" s="1"/>
  <c r="AJ43" i="2"/>
  <c r="AJ92" i="2"/>
  <c r="AJ97" i="2" s="1"/>
  <c r="AE45" i="2"/>
  <c r="AE97" i="2"/>
  <c r="AF40" i="2"/>
  <c r="AF28" i="2"/>
  <c r="AF30" i="2"/>
  <c r="AE109" i="2" l="1"/>
  <c r="D43" i="5" s="1"/>
  <c r="AJ45" i="2"/>
  <c r="AJ46" i="2" s="1"/>
  <c r="AJ116" i="2"/>
  <c r="AJ121" i="2" s="1"/>
  <c r="AF116" i="2"/>
  <c r="AF41" i="2"/>
  <c r="BG7" i="2"/>
  <c r="I12" i="5" s="1"/>
  <c r="I13" i="5" s="1"/>
  <c r="AF43" i="2"/>
  <c r="AF31" i="2"/>
  <c r="BG6" i="2"/>
  <c r="I10" i="5" s="1"/>
  <c r="I11" i="5" s="1"/>
  <c r="AE46" i="2"/>
  <c r="AF45" i="2"/>
  <c r="AF46" i="2" s="1"/>
  <c r="C119" i="2" l="1"/>
  <c r="G119" i="2" s="1"/>
  <c r="G121" i="2"/>
  <c r="C127" i="2"/>
  <c r="E127" i="2"/>
  <c r="F127" i="2"/>
  <c r="D127" i="2"/>
  <c r="G128" i="2"/>
  <c r="J127" i="2"/>
  <c r="I127" i="2"/>
  <c r="K127" i="2"/>
  <c r="H127" i="2"/>
  <c r="L128" i="2"/>
  <c r="L127" i="2" l="1"/>
  <c r="G127" i="2"/>
  <c r="P127" i="2"/>
  <c r="O127" i="2"/>
  <c r="N127" i="2"/>
  <c r="Q128" i="2"/>
  <c r="M127" i="2"/>
  <c r="S127" i="2"/>
  <c r="U127" i="2"/>
  <c r="T127" i="2"/>
  <c r="R127" i="2"/>
  <c r="V128" i="2"/>
  <c r="Z127" i="2"/>
  <c r="Y127" i="2"/>
  <c r="W127" i="2"/>
  <c r="AA128" i="2"/>
  <c r="X127" i="2"/>
  <c r="AD127" i="2"/>
  <c r="AC127" i="2"/>
  <c r="AB127" i="2"/>
  <c r="AF128" i="2"/>
  <c r="Q127" i="2" l="1"/>
  <c r="AF127" i="2"/>
  <c r="V127" i="2"/>
  <c r="AA127" i="2"/>
  <c r="AG106" i="2"/>
  <c r="AH106" i="2" l="1"/>
  <c r="AI106" i="2" l="1"/>
  <c r="AE144" i="2"/>
  <c r="AG143" i="2" l="1"/>
  <c r="AJ106" i="2"/>
  <c r="AF140" i="2" l="1"/>
  <c r="AG10" i="2" l="1"/>
  <c r="AK10" i="2" s="1"/>
  <c r="AK11" i="2" s="1"/>
  <c r="AG11" i="2"/>
  <c r="AG60" i="2" s="1"/>
  <c r="AG99" i="3"/>
  <c r="AG96" i="3"/>
  <c r="AK21" i="2" l="1"/>
  <c r="AK155" i="2" s="1"/>
  <c r="AK12" i="2"/>
  <c r="BH5" i="2"/>
  <c r="J3" i="5" s="1"/>
  <c r="AG79" i="2"/>
  <c r="AG58" i="2"/>
  <c r="AG12" i="2"/>
  <c r="AG15" i="2"/>
  <c r="AG150" i="2"/>
  <c r="AG81" i="2"/>
  <c r="AG95" i="3"/>
  <c r="AG18" i="2"/>
  <c r="AK18" i="2" s="1"/>
  <c r="AK19" i="2" s="1"/>
  <c r="AG88" i="2"/>
  <c r="AG63" i="2"/>
  <c r="AH157" i="2" l="1"/>
  <c r="AH120" i="2" s="1"/>
  <c r="AG119" i="2"/>
  <c r="AG90" i="2"/>
  <c r="AH119" i="2"/>
  <c r="AG68" i="2"/>
  <c r="AH68" i="2" s="1"/>
  <c r="AI68" i="2" s="1"/>
  <c r="AJ68" i="2" s="1"/>
  <c r="AG124" i="2"/>
  <c r="AK150" i="2"/>
  <c r="AG23" i="2"/>
  <c r="AG26" i="2" s="1"/>
  <c r="AK15" i="2"/>
  <c r="AG17" i="2"/>
  <c r="J4" i="5"/>
  <c r="K3" i="5"/>
  <c r="K14" i="5"/>
  <c r="AH121" i="2" l="1"/>
  <c r="L14" i="5"/>
  <c r="K10" i="5"/>
  <c r="L3" i="5"/>
  <c r="K12" i="5"/>
  <c r="AG38" i="2"/>
  <c r="AG28" i="2"/>
  <c r="AG27" i="2"/>
  <c r="AG30" i="2"/>
  <c r="AG31" i="2" s="1"/>
  <c r="AK119" i="2"/>
  <c r="AK151" i="2"/>
  <c r="BH10" i="2"/>
  <c r="J14" i="5" s="1"/>
  <c r="AG128" i="2"/>
  <c r="AK128" i="2" s="1"/>
  <c r="AK124" i="2"/>
  <c r="AK17" i="2"/>
  <c r="AK23" i="2"/>
  <c r="AK16" i="2"/>
  <c r="AK38" i="2" l="1"/>
  <c r="AG40" i="2"/>
  <c r="M14" i="5"/>
  <c r="M3" i="5"/>
  <c r="L12" i="5"/>
  <c r="L10" i="5"/>
  <c r="AK24" i="2"/>
  <c r="AK26" i="2"/>
  <c r="K17" i="5"/>
  <c r="K22" i="5" s="1"/>
  <c r="L17" i="5" l="1"/>
  <c r="L22" i="5" s="1"/>
  <c r="AK27" i="2"/>
  <c r="AK30" i="2"/>
  <c r="AK28" i="2"/>
  <c r="M10" i="5"/>
  <c r="M12" i="5"/>
  <c r="N3" i="5"/>
  <c r="N14" i="5"/>
  <c r="AG92" i="2"/>
  <c r="AG97" i="2" s="1"/>
  <c r="AK40" i="2"/>
  <c r="AG104" i="2" l="1"/>
  <c r="AK43" i="2"/>
  <c r="AG116" i="2"/>
  <c r="BH7" i="2"/>
  <c r="J12" i="5" s="1"/>
  <c r="AK41" i="2"/>
  <c r="N12" i="5"/>
  <c r="O14" i="5"/>
  <c r="O3" i="5"/>
  <c r="N10" i="5"/>
  <c r="N17" i="5" s="1"/>
  <c r="N22" i="5" s="1"/>
  <c r="M17" i="5"/>
  <c r="M22" i="5" s="1"/>
  <c r="AK31" i="2"/>
  <c r="BH6" i="2"/>
  <c r="J10" i="5" s="1"/>
  <c r="J11" i="5" l="1"/>
  <c r="O10" i="5"/>
  <c r="P3" i="5"/>
  <c r="O12" i="5"/>
  <c r="P14" i="5"/>
  <c r="AK116" i="2"/>
  <c r="AK45" i="2"/>
  <c r="AK46" i="2" s="1"/>
  <c r="AG107" i="2"/>
  <c r="AG109" i="2" s="1"/>
  <c r="AH104" i="2"/>
  <c r="AI104" i="2" l="1"/>
  <c r="AH107" i="2"/>
  <c r="AH109" i="2" s="1"/>
  <c r="AG56" i="2"/>
  <c r="P12" i="5"/>
  <c r="Q3" i="5"/>
  <c r="P10" i="5"/>
  <c r="P17" i="5" s="1"/>
  <c r="P22" i="5" s="1"/>
  <c r="Q14" i="5"/>
  <c r="O17" i="5"/>
  <c r="O22" i="5" s="1"/>
  <c r="AG66" i="2" l="1"/>
  <c r="AG75" i="2" s="1"/>
  <c r="AG110" i="2" s="1"/>
  <c r="AG144" i="2"/>
  <c r="Q12" i="5"/>
  <c r="Q10" i="5"/>
  <c r="Q17" i="5" s="1"/>
  <c r="Q22" i="5" s="1"/>
  <c r="D37" i="5" s="1"/>
  <c r="D39" i="5" s="1"/>
  <c r="D40" i="5" s="1"/>
  <c r="AH56" i="2"/>
  <c r="AI107" i="2"/>
  <c r="AI109" i="2" s="1"/>
  <c r="AJ104" i="2"/>
  <c r="AJ107" i="2" s="1"/>
  <c r="AJ109" i="2" s="1"/>
  <c r="AI56" i="2" l="1"/>
  <c r="AH66" i="2"/>
  <c r="AH75" i="2" s="1"/>
  <c r="AH110" i="2" s="1"/>
  <c r="AH144" i="2"/>
  <c r="AJ56" i="2"/>
  <c r="AG140" i="2"/>
  <c r="AH143" i="2"/>
  <c r="AJ66" i="2" l="1"/>
  <c r="AJ75" i="2" s="1"/>
  <c r="AJ110" i="2" s="1"/>
  <c r="AJ144" i="2"/>
  <c r="AI143" i="2"/>
  <c r="AH140" i="2"/>
  <c r="AH135" i="2" s="1"/>
  <c r="AH136" i="2" s="1"/>
  <c r="AI66" i="2"/>
  <c r="AI75" i="2" s="1"/>
  <c r="AI110" i="2" s="1"/>
  <c r="AI144" i="2"/>
  <c r="AJ143" i="2" l="1"/>
  <c r="AI140" i="2"/>
  <c r="AJ140" i="2"/>
  <c r="AJ135" i="2" s="1"/>
  <c r="AJ136" i="2" s="1"/>
  <c r="AI135" i="2" l="1"/>
  <c r="AK140" i="2"/>
  <c r="AI136" i="2" l="1"/>
  <c r="AG157" i="2"/>
  <c r="AG120" i="2" s="1"/>
  <c r="AE66" i="2"/>
  <c r="AE75" i="2" s="1"/>
  <c r="AE110" i="2" s="1"/>
  <c r="AF120" i="2" l="1"/>
  <c r="AG121" i="2"/>
  <c r="AK120" i="2"/>
  <c r="AK157" i="2"/>
  <c r="BH11" i="2" s="1"/>
  <c r="J16" i="5" s="1"/>
  <c r="J17" i="5" s="1"/>
  <c r="J22" i="5" s="1"/>
  <c r="D36" i="5" s="1"/>
  <c r="AF157" i="2"/>
  <c r="BG11" i="2" s="1"/>
  <c r="I16" i="5" s="1"/>
  <c r="I17" i="5" s="1"/>
  <c r="D42" i="5" l="1"/>
  <c r="AG135" i="2"/>
  <c r="AK121" i="2"/>
  <c r="G43" i="5" l="1"/>
  <c r="G42" i="5"/>
  <c r="D46" i="5"/>
  <c r="D49" i="5" s="1"/>
  <c r="G44" i="5" s="1"/>
  <c r="AG136" i="2"/>
  <c r="AK136" i="2" s="1"/>
  <c r="AK135" i="2"/>
  <c r="AF136" i="2"/>
  <c r="AE119" i="2"/>
  <c r="AF119" i="2" s="1"/>
  <c r="AF121" i="2"/>
  <c r="D50" i="5" l="1"/>
  <c r="AF1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Jasper Chang</author>
  </authors>
  <commentList>
    <comment ref="AG3" authorId="0" shapeId="0" xr:uid="{70281737-57B2-4440-9728-74E59826C974}">
      <text>
        <r>
          <rPr>
            <b/>
            <sz val="9"/>
            <color indexed="81"/>
            <rFont val="Tahoma"/>
            <family val="2"/>
          </rPr>
          <t>Jasper Chang:</t>
        </r>
        <r>
          <rPr>
            <sz val="9"/>
            <color indexed="81"/>
            <rFont val="Tahoma"/>
            <family val="2"/>
          </rPr>
          <t xml:space="preserve">
keeping in mind a mild recession mid year + higher rates</t>
        </r>
      </text>
    </comment>
    <comment ref="AE19" authorId="0" shapeId="0" xr:uid="{E8269F67-4D38-4019-BF07-685374207995}">
      <text>
        <r>
          <rPr>
            <b/>
            <sz val="9"/>
            <color indexed="81"/>
            <rFont val="Tahoma"/>
            <family val="2"/>
          </rPr>
          <t>Jasper Chang:</t>
        </r>
        <r>
          <rPr>
            <sz val="9"/>
            <color indexed="81"/>
            <rFont val="Tahoma"/>
            <family val="2"/>
          </rPr>
          <t xml:space="preserve">
prediction from TSA info - around 11% on a 95% R^2</t>
        </r>
      </text>
    </comment>
    <comment ref="AE70" authorId="0" shapeId="0" xr:uid="{46F75CCF-2F56-41DC-A4C5-80A4E31CC690}">
      <text>
        <r>
          <rPr>
            <b/>
            <sz val="9"/>
            <color indexed="81"/>
            <rFont val="Tahoma"/>
            <family val="2"/>
          </rPr>
          <t>Jasper Chang:</t>
        </r>
        <r>
          <rPr>
            <sz val="9"/>
            <color indexed="81"/>
            <rFont val="Tahoma"/>
            <family val="2"/>
          </rPr>
          <t xml:space="preserve">
original 5.87% prediction from TSA</t>
        </r>
      </text>
    </comment>
    <comment ref="AE98" authorId="0" shapeId="0" xr:uid="{504DE398-FCA4-420F-9C31-3F99A52FB0CC}">
      <text>
        <r>
          <rPr>
            <b/>
            <sz val="9"/>
            <color indexed="81"/>
            <rFont val="Tahoma"/>
            <charset val="1"/>
          </rPr>
          <t>Jasper Chang:</t>
        </r>
        <r>
          <rPr>
            <sz val="9"/>
            <color indexed="81"/>
            <rFont val="Tahoma"/>
            <charset val="1"/>
          </rPr>
          <t xml:space="preserve">
off by 20 bps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Jasper Chang</author>
  </authors>
  <commentList>
    <comment ref="AB10" authorId="0" shapeId="0" xr:uid="{5A69E4B0-D931-4CAE-81BD-9F17CE3AE219}">
      <text>
        <r>
          <rPr>
            <b/>
            <sz val="9"/>
            <color indexed="81"/>
            <rFont val="Tahoma"/>
            <family val="2"/>
          </rPr>
          <t>Jasper Chang:</t>
        </r>
        <r>
          <rPr>
            <sz val="9"/>
            <color indexed="81"/>
            <rFont val="Tahoma"/>
            <family val="2"/>
          </rPr>
          <t xml:space="preserve">
includes 30M incentive one-time benefit</t>
        </r>
      </text>
    </comment>
    <comment ref="Y22" authorId="0" shapeId="0" xr:uid="{930D6DFD-858E-4B0E-A7A1-A960F071458E}">
      <text>
        <r>
          <rPr>
            <b/>
            <sz val="9"/>
            <color indexed="81"/>
            <rFont val="Tahoma"/>
            <family val="2"/>
          </rPr>
          <t>Jasper Chang:</t>
        </r>
        <r>
          <rPr>
            <sz val="9"/>
            <color indexed="81"/>
            <rFont val="Tahoma"/>
            <family val="2"/>
          </rPr>
          <t xml:space="preserve">
provision for litigation</t>
        </r>
      </text>
    </comment>
    <comment ref="AE34" authorId="0" shapeId="0" xr:uid="{B8E45AA0-127E-4F20-9B00-938B25A9C9EE}">
      <text>
        <r>
          <rPr>
            <b/>
            <sz val="9"/>
            <color rgb="FF000000"/>
            <rFont val="Tahoma"/>
            <family val="2"/>
          </rPr>
          <t>Jasper Chang:</t>
        </r>
        <r>
          <rPr>
            <sz val="9"/>
            <color rgb="FF000000"/>
            <rFont val="Tahoma"/>
            <family val="2"/>
          </rPr>
          <t xml:space="preserve">
</t>
        </r>
        <r>
          <rPr>
            <sz val="9"/>
            <color rgb="FF000000"/>
            <rFont val="Tahoma"/>
            <family val="2"/>
          </rPr>
          <t>3Q call run-rate 100m</t>
        </r>
      </text>
    </comment>
    <comment ref="AG34" authorId="0" shapeId="0" xr:uid="{95088C54-E03B-B240-9DBA-8F03D04BFFCB}">
      <text>
        <r>
          <rPr>
            <b/>
            <sz val="9"/>
            <color rgb="FF000000"/>
            <rFont val="Tahoma"/>
            <family val="2"/>
          </rPr>
          <t>Jasper Chang:</t>
        </r>
        <r>
          <rPr>
            <sz val="9"/>
            <color rgb="FF000000"/>
            <rFont val="Tahoma"/>
            <family val="2"/>
          </rPr>
          <t xml:space="preserve">
</t>
        </r>
        <r>
          <rPr>
            <sz val="9"/>
            <color rgb="FF000000"/>
            <rFont val="Tahoma"/>
            <family val="2"/>
          </rPr>
          <t>3Q call run-rate 100m</t>
        </r>
      </text>
    </comment>
    <comment ref="AE45" authorId="0" shapeId="0" xr:uid="{9343C9D2-C734-4861-A06D-2CCDE5FA28A2}">
      <text>
        <r>
          <rPr>
            <b/>
            <sz val="9"/>
            <color indexed="81"/>
            <rFont val="Tahoma"/>
            <family val="2"/>
          </rPr>
          <t>Jasper Chang:</t>
        </r>
        <r>
          <rPr>
            <sz val="9"/>
            <color indexed="81"/>
            <rFont val="Tahoma"/>
            <family val="2"/>
          </rPr>
          <t xml:space="preserve">
as per expectation</t>
        </r>
      </text>
    </comment>
  </commentList>
</comments>
</file>

<file path=xl/sharedStrings.xml><?xml version="1.0" encoding="utf-8"?>
<sst xmlns="http://schemas.openxmlformats.org/spreadsheetml/2006/main" count="581" uniqueCount="408">
  <si>
    <t>Mastercard</t>
  </si>
  <si>
    <t>NYSE: MA</t>
  </si>
  <si>
    <t>-</t>
  </si>
  <si>
    <t>1Q17</t>
  </si>
  <si>
    <t>2Q17</t>
  </si>
  <si>
    <t>3Q17</t>
  </si>
  <si>
    <t>4Q17</t>
  </si>
  <si>
    <t>1Q18</t>
  </si>
  <si>
    <t>2Q18</t>
  </si>
  <si>
    <t>3Q18</t>
  </si>
  <si>
    <t>4Q18</t>
  </si>
  <si>
    <t>1Q19</t>
  </si>
  <si>
    <t>2Q19</t>
  </si>
  <si>
    <t>3Q19</t>
  </si>
  <si>
    <t>4Q19</t>
  </si>
  <si>
    <t>1Q20</t>
  </si>
  <si>
    <t>2Q20</t>
  </si>
  <si>
    <t>3Q20</t>
  </si>
  <si>
    <t>4Q20</t>
  </si>
  <si>
    <t>1Q21</t>
  </si>
  <si>
    <t>2Q21</t>
  </si>
  <si>
    <t>3Q21</t>
  </si>
  <si>
    <t>Domestic Assessments Revenue (mn)</t>
  </si>
  <si>
    <t>YoY Change (%)</t>
  </si>
  <si>
    <t>Global Purchase vol (bn)</t>
  </si>
  <si>
    <t>Credit</t>
  </si>
  <si>
    <t>Debit</t>
  </si>
  <si>
    <t>Total, United States</t>
  </si>
  <si>
    <t>Total Global Purchase Volume</t>
  </si>
  <si>
    <t>APMEA</t>
  </si>
  <si>
    <t>Canada</t>
  </si>
  <si>
    <t>Europe</t>
  </si>
  <si>
    <t>Latin America</t>
  </si>
  <si>
    <t>US</t>
  </si>
  <si>
    <t>Transaction Processing Revenue</t>
  </si>
  <si>
    <t>Total MA Transactions (purchase/cash, from below)</t>
  </si>
  <si>
    <t>Percentage of total processed "on network"</t>
  </si>
  <si>
    <t>Data Processing Revenue per total MA transactions</t>
  </si>
  <si>
    <t>Total</t>
  </si>
  <si>
    <t>Cross border volume fees</t>
  </si>
  <si>
    <t>Constant-currency rev growth (yoy)</t>
  </si>
  <si>
    <t>Currency lift</t>
  </si>
  <si>
    <t>Cross border pricing (yoy)</t>
  </si>
  <si>
    <t>Other revenues</t>
  </si>
  <si>
    <t>as % of gross revenue</t>
  </si>
  <si>
    <t>Rebates (mn)</t>
  </si>
  <si>
    <t>4Q21</t>
  </si>
  <si>
    <t>1Q22</t>
  </si>
  <si>
    <t>2Q22</t>
  </si>
  <si>
    <t>3Q22</t>
  </si>
  <si>
    <t>Total GPV</t>
  </si>
  <si>
    <t>Domestic Assessments Forecast</t>
  </si>
  <si>
    <t>Revenue</t>
  </si>
  <si>
    <t>Domestic Assessments</t>
  </si>
  <si>
    <t>Cross Border Volume</t>
  </si>
  <si>
    <t>Transaction Processing</t>
  </si>
  <si>
    <t>Other Revenues</t>
  </si>
  <si>
    <t xml:space="preserve">Total Revenue </t>
  </si>
  <si>
    <t>(Rebates)</t>
  </si>
  <si>
    <t>Revenue growth y/y</t>
  </si>
  <si>
    <t>Income Statement (in millions)</t>
  </si>
  <si>
    <t>Growth YoY (%)</t>
  </si>
  <si>
    <t xml:space="preserve">Total </t>
  </si>
  <si>
    <t>Take Rate (bps) - Revenue/Volume</t>
  </si>
  <si>
    <t>Transaction Processing Revenue Forecast</t>
  </si>
  <si>
    <t>Cash Transactions</t>
  </si>
  <si>
    <t>Switched Transactions *ex-Russia</t>
  </si>
  <si>
    <t>Investment income, net</t>
  </si>
  <si>
    <t>Interest expense</t>
  </si>
  <si>
    <t>Net interest and other expense</t>
  </si>
  <si>
    <t>Pre-tax Income</t>
  </si>
  <si>
    <t>Tax</t>
  </si>
  <si>
    <t>Tax rate</t>
  </si>
  <si>
    <t>Adj. Net income</t>
  </si>
  <si>
    <t xml:space="preserve">    EPS growth (yoy)</t>
  </si>
  <si>
    <t>Diluted shares outstanding</t>
  </si>
  <si>
    <t>Dividend per share</t>
  </si>
  <si>
    <t>Operating Margin</t>
  </si>
  <si>
    <t>OpEx</t>
  </si>
  <si>
    <t>SG&amp;A</t>
  </si>
  <si>
    <t>Y/Y Change</t>
  </si>
  <si>
    <t>Advertising</t>
  </si>
  <si>
    <t>% of Revenue</t>
  </si>
  <si>
    <t>D&amp;A</t>
  </si>
  <si>
    <t>EBITDA Margin</t>
  </si>
  <si>
    <t>Local currency rev growth (yoy)</t>
  </si>
  <si>
    <t>Rebates &amp; Incentives</t>
  </si>
  <si>
    <t>Cross-Border Volume</t>
  </si>
  <si>
    <t>USA GPV</t>
  </si>
  <si>
    <t>Rest of World GPV</t>
  </si>
  <si>
    <t>bps Rebates / Total GPV</t>
  </si>
  <si>
    <t>Yo3Y</t>
  </si>
  <si>
    <t>how much TPV compression during a recession</t>
  </si>
  <si>
    <t>(YoY over 2022)</t>
  </si>
  <si>
    <t>(steady-state implied CAGR over 3 years)</t>
  </si>
  <si>
    <t xml:space="preserve">Asia rebound </t>
  </si>
  <si>
    <t>cross border spending + travel</t>
  </si>
  <si>
    <t>recent chinese + taiwanese border opening</t>
  </si>
  <si>
    <t>political instability</t>
  </si>
  <si>
    <t>YoY net revenue high end of mid-teen basis</t>
  </si>
  <si>
    <t>(currency neutral)</t>
  </si>
  <si>
    <t>15-17%</t>
  </si>
  <si>
    <t xml:space="preserve">higher rebates from seasonal </t>
  </si>
  <si>
    <t>100m runrate (income expense)</t>
  </si>
  <si>
    <t>FX 4-5bpt</t>
  </si>
  <si>
    <t>tax rate 19%</t>
  </si>
  <si>
    <t>Q4 Guide</t>
  </si>
  <si>
    <t>6-7 bpt headwind from Euro (net rev 55 mil for euro 1% impact vs USD)</t>
  </si>
  <si>
    <t>Date</t>
  </si>
  <si>
    <t>Sum of '22</t>
  </si>
  <si>
    <t xml:space="preserve">Sum of '21 </t>
  </si>
  <si>
    <t>Sum of '19</t>
  </si>
  <si>
    <t>1Q</t>
  </si>
  <si>
    <t>2Q</t>
  </si>
  <si>
    <t>3Q</t>
  </si>
  <si>
    <t>4Q</t>
  </si>
  <si>
    <t>YoY</t>
  </si>
  <si>
    <t>Actual YoY</t>
  </si>
  <si>
    <t>Sum of'20</t>
  </si>
  <si>
    <t>avg '21 YoY</t>
  </si>
  <si>
    <t>avg '22 YoY</t>
  </si>
  <si>
    <t>avg '20 YoY</t>
  </si>
  <si>
    <t>reg2 (3rd)</t>
  </si>
  <si>
    <t>reg1 (quad)</t>
  </si>
  <si>
    <t>reg4 (3rd)</t>
  </si>
  <si>
    <t>reg3 (quad)</t>
  </si>
  <si>
    <t>(2022 Q4 prediction)</t>
  </si>
  <si>
    <t>(should equalize to certain extent, given recent COVID restrictions)</t>
  </si>
  <si>
    <t>(based on USD/EURO graph)</t>
  </si>
  <si>
    <t>tougher YoY comps</t>
  </si>
  <si>
    <t>Comments</t>
  </si>
  <si>
    <t>(2022 Q4)</t>
  </si>
  <si>
    <t>Purchase Transactions</t>
  </si>
  <si>
    <t>from card activity (issuer processing)</t>
  </si>
  <si>
    <t>transaction + settlement + clearing</t>
  </si>
  <si>
    <t>merchant diff country than card issuer</t>
  </si>
  <si>
    <t xml:space="preserve">higher rebates for 4Q22 - 3Q management </t>
  </si>
  <si>
    <t>Balance Sheet (in millions)</t>
  </si>
  <si>
    <t>Non-GAAP diluted EPS</t>
  </si>
  <si>
    <t>Litigation Provision (GAAP)</t>
  </si>
  <si>
    <t>Adj Total Operating expenses</t>
  </si>
  <si>
    <t>Adj Net Revenue</t>
  </si>
  <si>
    <t>Incremental Margin</t>
  </si>
  <si>
    <t>1Q23E</t>
  </si>
  <si>
    <t>2Q23E</t>
  </si>
  <si>
    <t>3Q23E</t>
  </si>
  <si>
    <t>4Q23E</t>
  </si>
  <si>
    <t>Adj Operating Income</t>
  </si>
  <si>
    <t>Adj EBITDA</t>
  </si>
  <si>
    <t>Other</t>
  </si>
  <si>
    <t>FY17</t>
  </si>
  <si>
    <t>FY18</t>
  </si>
  <si>
    <t>FY20</t>
  </si>
  <si>
    <t>FY19</t>
  </si>
  <si>
    <t>FY21</t>
  </si>
  <si>
    <t>FY22</t>
  </si>
  <si>
    <t>FY23</t>
  </si>
  <si>
    <t>YoY Change</t>
  </si>
  <si>
    <t>Assets</t>
  </si>
  <si>
    <t>Cash and equivalents</t>
  </si>
  <si>
    <t>Accounts receivable</t>
  </si>
  <si>
    <t xml:space="preserve">     DSO</t>
  </si>
  <si>
    <t>Settlement from members</t>
  </si>
  <si>
    <t>Restricted deposits</t>
  </si>
  <si>
    <t>Prepaid expenses</t>
  </si>
  <si>
    <t>Other current assets</t>
  </si>
  <si>
    <t>Total current assets</t>
  </si>
  <si>
    <t>PP&amp;E</t>
  </si>
  <si>
    <t>Deferred income taxes</t>
  </si>
  <si>
    <t>Goodwill</t>
  </si>
  <si>
    <t>Other assets</t>
  </si>
  <si>
    <t>Total assets</t>
  </si>
  <si>
    <t>Liabilities &amp; Stockholder's equity</t>
  </si>
  <si>
    <t>Accounts payable</t>
  </si>
  <si>
    <t>Settlement to members</t>
  </si>
  <si>
    <t>Accrued expenses</t>
  </si>
  <si>
    <t>Short term debt</t>
  </si>
  <si>
    <t>Other current liabilities</t>
  </si>
  <si>
    <t>Total current liabilities</t>
  </si>
  <si>
    <t>Long-term debt</t>
  </si>
  <si>
    <t>Other liabilities</t>
  </si>
  <si>
    <t>Total liabilities</t>
  </si>
  <si>
    <t>Minority interest</t>
  </si>
  <si>
    <t>Total liabilities and S.E.</t>
  </si>
  <si>
    <t>Investments Available for Sale</t>
  </si>
  <si>
    <t>Intangibles</t>
  </si>
  <si>
    <t>Long-term Prepaid Assets</t>
  </si>
  <si>
    <t>Muni-bonds to Maturity</t>
  </si>
  <si>
    <t>Obligations under US Merchant Lawsuit</t>
  </si>
  <si>
    <t>DPO</t>
  </si>
  <si>
    <t>Q/Q</t>
  </si>
  <si>
    <t>Deferred Income Tax</t>
  </si>
  <si>
    <t>% of Tax</t>
  </si>
  <si>
    <t>Treasury Stock</t>
  </si>
  <si>
    <t>Shareholder's Equity</t>
  </si>
  <si>
    <t>Retained Earnings</t>
  </si>
  <si>
    <t>Total Cumm. Comprehensive Income</t>
  </si>
  <si>
    <t>Check</t>
  </si>
  <si>
    <t>APIC</t>
  </si>
  <si>
    <t>Other Items</t>
  </si>
  <si>
    <t>Total S.E. (excluding minority interest)</t>
  </si>
  <si>
    <t>Net Income</t>
  </si>
  <si>
    <t>Depreciation and Amortization</t>
  </si>
  <si>
    <t>Lawsuit Settlement Accruals</t>
  </si>
  <si>
    <t>Other Adjustments</t>
  </si>
  <si>
    <t>Operating Cash Flow</t>
  </si>
  <si>
    <t>Software Investments</t>
  </si>
  <si>
    <t>Acquisitions</t>
  </si>
  <si>
    <t>Other Investing</t>
  </si>
  <si>
    <t>Investing Cash Flow</t>
  </si>
  <si>
    <t>Debt Issuance(Repayment)</t>
  </si>
  <si>
    <t>Equity Issuance (Repurchase)</t>
  </si>
  <si>
    <t>Dividends</t>
  </si>
  <si>
    <t>Plug</t>
  </si>
  <si>
    <t>Financing Cash Flow</t>
  </si>
  <si>
    <t>FX</t>
  </si>
  <si>
    <t>Net Cash Flows</t>
  </si>
  <si>
    <t>Beginning Cash</t>
  </si>
  <si>
    <t>Ending Cash</t>
  </si>
  <si>
    <t>Simplified Cash Flow Statement (in millions)</t>
  </si>
  <si>
    <t>Capex</t>
  </si>
  <si>
    <t>% of Rev</t>
  </si>
  <si>
    <t>% of PPE</t>
  </si>
  <si>
    <t>Operating Activities</t>
  </si>
  <si>
    <t>Net income</t>
  </si>
  <si>
    <t>Stock Comp</t>
  </si>
  <si>
    <t>Settlement due from members</t>
  </si>
  <si>
    <t>Prepaid expenses and other current assets</t>
  </si>
  <si>
    <t>Settlement due to members</t>
  </si>
  <si>
    <t>Net change in other assets and liabilities</t>
  </si>
  <si>
    <t>Investing Activities</t>
  </si>
  <si>
    <t>Purchases of property, plant and equipment</t>
  </si>
  <si>
    <t>Capitalized software</t>
  </si>
  <si>
    <t>Purchases of investment securities available-for-sale</t>
  </si>
  <si>
    <t>Acquisition of businesses, net of cash acquired</t>
  </si>
  <si>
    <t>Other investing activities</t>
  </si>
  <si>
    <t>Financing Activities</t>
  </si>
  <si>
    <t>Net proceeds of stock issuance</t>
  </si>
  <si>
    <t>Dividends Paid</t>
  </si>
  <si>
    <t>Short-term borrowings, net of repayments</t>
  </si>
  <si>
    <t>Effect of exchange rate changes on cash and cash equivalents</t>
  </si>
  <si>
    <t>Net increase in cash and cash equivalents</t>
  </si>
  <si>
    <t>Cash and cash equivalents — beginning of period</t>
  </si>
  <si>
    <t>Cash and cash equivalents — end of period</t>
  </si>
  <si>
    <t>Cash Flow Statement Input (linked to above)</t>
  </si>
  <si>
    <t>Net Cash</t>
  </si>
  <si>
    <t>NWC</t>
  </si>
  <si>
    <t xml:space="preserve">Change in Working Capital </t>
  </si>
  <si>
    <t>Change in NWC</t>
  </si>
  <si>
    <t>FCF Feeder</t>
  </si>
  <si>
    <t>Perpetuity Growth Rate</t>
  </si>
  <si>
    <t>2019A</t>
  </si>
  <si>
    <t>2020A</t>
  </si>
  <si>
    <t>2021A</t>
  </si>
  <si>
    <t>Cost of Capital</t>
  </si>
  <si>
    <t>Cumulative Disc. Factor</t>
  </si>
  <si>
    <t>Terminal CF</t>
  </si>
  <si>
    <t>Terminal Value</t>
  </si>
  <si>
    <t>2017A</t>
  </si>
  <si>
    <t>2018A</t>
  </si>
  <si>
    <t>2022E</t>
  </si>
  <si>
    <t>2023E</t>
  </si>
  <si>
    <t>2024E</t>
  </si>
  <si>
    <t>2025E</t>
  </si>
  <si>
    <t>2026E</t>
  </si>
  <si>
    <t>2027E</t>
  </si>
  <si>
    <t>Net Rev</t>
  </si>
  <si>
    <t>Cash Tax</t>
  </si>
  <si>
    <t>EBITDA</t>
  </si>
  <si>
    <t>Debt</t>
  </si>
  <si>
    <t>Using a levered FCFE due to company stability in leverage structure &amp; being one of the largest/mature players within the networks</t>
  </si>
  <si>
    <t>FCFE</t>
  </si>
  <si>
    <t>Taxes in Cash</t>
  </si>
  <si>
    <t>Debt Outstanding:</t>
  </si>
  <si>
    <t>1.000% 02/2029 Notes (EUR)</t>
  </si>
  <si>
    <t xml:space="preserve">2.000% 11/2031 Notes </t>
  </si>
  <si>
    <t>1.900% 03/2031 Notes</t>
  </si>
  <si>
    <t xml:space="preserve">2.950% 03/2051 Notes </t>
  </si>
  <si>
    <t>3.300% 03/2027 Notes</t>
  </si>
  <si>
    <t>3.350% 03/2030 Notes</t>
  </si>
  <si>
    <t>3.850% 03/2050 Notes</t>
  </si>
  <si>
    <t>2.950% 06/2029 Notes</t>
  </si>
  <si>
    <t>3.650% 06/2049 Notes</t>
  </si>
  <si>
    <t>2.000% 03/2025 Notes</t>
  </si>
  <si>
    <t>3.500% 02/2028 Notes</t>
  </si>
  <si>
    <t>3.950% 02/2048 Notes</t>
  </si>
  <si>
    <t>2.950% 11/2026 Notes</t>
  </si>
  <si>
    <t>3.800% 11/2046 Notes</t>
  </si>
  <si>
    <t>1.100% 12/2022 Notes (EUR)</t>
  </si>
  <si>
    <t>2.100% 12/2027 Notes (EUR)</t>
  </si>
  <si>
    <t>2.500% 12/2030 Notes (EUR)</t>
  </si>
  <si>
    <t>3.375% 04/2024 Notes</t>
  </si>
  <si>
    <t>Interest Rates:</t>
  </si>
  <si>
    <t>Calculated Interest Cost:</t>
  </si>
  <si>
    <t xml:space="preserve">Debt Schedule </t>
  </si>
  <si>
    <t>EUR Assumptions</t>
  </si>
  <si>
    <t>(MS 2023 forecast)</t>
  </si>
  <si>
    <t>Reported Interest Expense</t>
  </si>
  <si>
    <t>Diff</t>
  </si>
  <si>
    <t>FY24E</t>
  </si>
  <si>
    <t>FY25E</t>
  </si>
  <si>
    <t>Total Interest Expense</t>
  </si>
  <si>
    <t>CapEx</t>
  </si>
  <si>
    <t>2028E</t>
  </si>
  <si>
    <t>2029E</t>
  </si>
  <si>
    <t>2030E</t>
  </si>
  <si>
    <t xml:space="preserve">Rev Growth </t>
  </si>
  <si>
    <t>EBITDA % Rev</t>
  </si>
  <si>
    <t>Tax % Rev</t>
  </si>
  <si>
    <t>CapEx % Rev</t>
  </si>
  <si>
    <t>Sum V(FCFE)</t>
  </si>
  <si>
    <t>Risk Free Rate</t>
  </si>
  <si>
    <t>(long-term expectation)</t>
  </si>
  <si>
    <t>Beta</t>
  </si>
  <si>
    <t>Market Risk Premium</t>
  </si>
  <si>
    <t>Cost of Equity</t>
  </si>
  <si>
    <t>WACC (Equity)</t>
  </si>
  <si>
    <t>PV(FCFE)</t>
  </si>
  <si>
    <t xml:space="preserve">(because using FCFE, not FCFF) </t>
  </si>
  <si>
    <t>Terminal Multiple</t>
  </si>
  <si>
    <t>Discounted Value</t>
  </si>
  <si>
    <t>Equity Value</t>
  </si>
  <si>
    <t>Shares</t>
  </si>
  <si>
    <t>Value Per Share</t>
  </si>
  <si>
    <t>Implied Multiple (P/E)</t>
  </si>
  <si>
    <t>including 3% long-term inflation assumption + 4.5% stable growth</t>
  </si>
  <si>
    <t>Cash &amp; Equivalents</t>
  </si>
  <si>
    <t>(Debt)</t>
  </si>
  <si>
    <t>(Minority Interest)</t>
  </si>
  <si>
    <t>Enterprise Value</t>
  </si>
  <si>
    <t>AAPL</t>
  </si>
  <si>
    <t>MSFT</t>
  </si>
  <si>
    <t>ADBE</t>
  </si>
  <si>
    <t>WU</t>
  </si>
  <si>
    <t>T (AT&amp;T)</t>
  </si>
  <si>
    <t>WEX</t>
  </si>
  <si>
    <t>FIS</t>
  </si>
  <si>
    <t>GPN</t>
  </si>
  <si>
    <t>AMZN</t>
  </si>
  <si>
    <t xml:space="preserve">V </t>
  </si>
  <si>
    <t>MA</t>
  </si>
  <si>
    <t>EV/EBITDA</t>
  </si>
  <si>
    <t>6.2x</t>
  </si>
  <si>
    <t>7.2x</t>
  </si>
  <si>
    <t>19.0x</t>
  </si>
  <si>
    <t>20.5x</t>
  </si>
  <si>
    <t>25.3x</t>
  </si>
  <si>
    <t>10.5x</t>
  </si>
  <si>
    <t>10.7x</t>
  </si>
  <si>
    <t>11.8x</t>
  </si>
  <si>
    <t>20.6x</t>
  </si>
  <si>
    <t>22.7x</t>
  </si>
  <si>
    <t>26.9x</t>
  </si>
  <si>
    <t>1.2x</t>
  </si>
  <si>
    <t>1.5x</t>
  </si>
  <si>
    <t>1.1x</t>
  </si>
  <si>
    <t>2.0x</t>
  </si>
  <si>
    <t>3.7x</t>
  </si>
  <si>
    <t>2.7x</t>
  </si>
  <si>
    <t>3.4x</t>
  </si>
  <si>
    <t>9.8x</t>
  </si>
  <si>
    <t>9.9x</t>
  </si>
  <si>
    <t>6.3x</t>
  </si>
  <si>
    <t>EV/Rev</t>
  </si>
  <si>
    <t>EV/Revenue</t>
  </si>
  <si>
    <t>2.2x</t>
  </si>
  <si>
    <t>6.1x</t>
  </si>
  <si>
    <t>2.4x</t>
  </si>
  <si>
    <t>3.9x</t>
  </si>
  <si>
    <t>15.9x</t>
  </si>
  <si>
    <t>4.0x</t>
  </si>
  <si>
    <t>4.8x</t>
  </si>
  <si>
    <t>16.3x</t>
  </si>
  <si>
    <t>9.7x</t>
  </si>
  <si>
    <t>EV/EBIT</t>
  </si>
  <si>
    <t>28.1x</t>
  </si>
  <si>
    <t>20.8x</t>
  </si>
  <si>
    <t>7.5x</t>
  </si>
  <si>
    <t>12.8x</t>
  </si>
  <si>
    <t>90.9x</t>
  </si>
  <si>
    <t>36.5x</t>
  </si>
  <si>
    <t>23.7x</t>
  </si>
  <si>
    <t>28.5x</t>
  </si>
  <si>
    <t>21.8x</t>
  </si>
  <si>
    <t>15.0x</t>
  </si>
  <si>
    <t>24.0x</t>
  </si>
  <si>
    <t>Basic Comps</t>
  </si>
  <si>
    <t>(hold/underweight)</t>
  </si>
  <si>
    <t>on tough comps</t>
  </si>
  <si>
    <t>4Q22</t>
  </si>
  <si>
    <t>Proceeds from sales and maturities of investment securities available-for-sale</t>
  </si>
  <si>
    <t>Model</t>
  </si>
  <si>
    <t>P/E</t>
  </si>
  <si>
    <t>(on FY23E)</t>
  </si>
  <si>
    <t>P/Sales</t>
  </si>
  <si>
    <t>15.6x</t>
  </si>
  <si>
    <t>P/Sales (LTM)</t>
  </si>
  <si>
    <t>7.7x</t>
  </si>
  <si>
    <t>9.0x</t>
  </si>
  <si>
    <t>61.7x</t>
  </si>
  <si>
    <t>30.5x</t>
  </si>
  <si>
    <t>14.1x</t>
  </si>
  <si>
    <t>10.3x</t>
  </si>
  <si>
    <t>11.5x</t>
  </si>
  <si>
    <t>25.6x</t>
  </si>
  <si>
    <t>24.6x</t>
  </si>
  <si>
    <t>Target Price</t>
  </si>
  <si>
    <t>Mastercard (MA) is one of the household names within the fintech world, playing the role as the reputable network within the payments ecosystem. Having a commanding foothold within payment processing and card issuance, Visa and Mastercard are unrivaled in partnerships with growth names such as Marqeta, Link (open banking), Toast (restaurant POS turned Payfac), alongside well-diversified business segments, yielding considerable stability within the current macroeconomic environment (and hence have traded at a premium over the last few months). Mastercard has also significantly invested within new capabilities like BNPL through their installments, crypto-related initiatives, etc. Share price performance has outperformed the S&amp;P and NASDAQ throughout 2022, solidifying itself as a recession-resilient name that compensates with growth. Mastercard primarily generates revenue from the MDR (merchant discount rate) and interchange (which is subject to the scrutiny of Fed's Durbin Amendment) both within the US as well as internationally. FX and interest rates remain the highest risks to the business, as traditional fintech encumbents have usually posed no real issue to Mastercard operations. Open banking, however, is a growing area in fintech that bypasses the networks and will eventually take share away from traditional payment rails; but even with new players like Link Financial Technologies, partnerships with Mastercard's Engage remain important to utilize ecosystem partners, allow better access to consumer-permissioned data and compliance/KYC related cybersecurity solutions. From a pricing standpoint, Mastercard moves roughly with the market and has been a good thesis since the latter half of 2022. Current pricing, though, is a bit expensive compared to most of the peer group -but from an EV/EBIT perspective, it seems to priced pretty fairly. During 4Q earnings, the management team mentioned that cross-border travel had already recovered to pre-pandemic levels; most of the buy-side community originally invested heavily into MA during the latter half of 2022 because of this thesis, pushing the price up; I believe it is now slightly overvalued and should sit between a pricing range of $296-331.26.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</si>
</sst>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 \ ;\(&quot;$&quot;#,##0\)\ \ "/>
    <numFmt numFmtId="165" formatCode="#,##0\ \ \ ;\(#,##0\)\ \ "/>
    <numFmt numFmtId="166" formatCode="0.0%"/>
    <numFmt numFmtId="167" formatCode="&quot;$&quot;#,##0"/>
    <numFmt numFmtId="168" formatCode="&quot;$&quot;#,##0\ \ \ ;\(&quot;$&quot;#,##0\)\ \ ;&quot;---   &quot;"/>
    <numFmt numFmtId="169" formatCode="#,##0\ \ \ ;\(#,##0\)\ \ ;&quot;---   &quot;"/>
    <numFmt numFmtId="170" formatCode="&quot;$&quot;#,##0.00\ \ \ ;\(&quot;$&quot;#,##0.00\)\ \ "/>
    <numFmt numFmtId="171" formatCode="&quot;$&quot;#,##0.00\ \ \ ;\(&quot;$&quot;#,##0.00\)\ \ \ "/>
    <numFmt numFmtId="172" formatCode="&quot;$&quot;#,##0.0\ \ \ ;\(&quot;$&quot;#,##0.0\)\ \ "/>
    <numFmt numFmtId="173" formatCode="#,##0.0\ \ \ ;\(#,##0.0\)\ \ "/>
    <numFmt numFmtId="174" formatCode="0.000"/>
    <numFmt numFmtId="175" formatCode="&quot;$&quot;#,##0.0000"/>
    <numFmt numFmtId="176" formatCode="_([$$-409]* #,##0_);_([$$-409]* \(#,##0\);_([$$-409]* &quot;-&quot;??_);_(@_)"/>
    <numFmt numFmtId="177" formatCode="0.0"/>
    <numFmt numFmtId="178" formatCode="_(&quot;$&quot;* #,##0_);_(&quot;$&quot;* \(#,##0\);_(&quot;$&quot;* &quot;-&quot;??_);_(@_)"/>
    <numFmt numFmtId="179" formatCode="0.0_);\(0.0\)"/>
    <numFmt numFmtId="180" formatCode="_(* #,##0_);_(* \(#,##0\);_(* &quot;-&quot;??_);_(@_)"/>
    <numFmt numFmtId="181" formatCode="0.0000000"/>
    <numFmt numFmtId="182" formatCode="_(* #,##0.0_);_(* \(#,##0.0\);_(* &quot;-&quot;?_);_(@_)"/>
    <numFmt numFmtId="183" formatCode="0.000%"/>
    <numFmt numFmtId="184" formatCode="0.00\x"/>
    <numFmt numFmtId="185" formatCode="00.00\x"/>
    <numFmt numFmtId="186" formatCode="0.0\x"/>
  </numFmts>
  <fonts count="45" x14ac:knownFonts="1">
    <font>
      <sz val="11"/>
      <color theme="1"/>
      <name val="Calibri"/>
      <family val="2"/>
      <scheme val="minor"/>
    </font>
    <font>
      <b/>
      <sz val="11"/>
      <color theme="1"/>
      <name val="Calibri"/>
      <family val="2"/>
      <scheme val="minor"/>
    </font>
    <font>
      <b/>
      <sz val="22"/>
      <color theme="1"/>
      <name val="Calibri"/>
      <family val="2"/>
      <scheme val="minor"/>
    </font>
    <font>
      <b/>
      <sz val="10"/>
      <color theme="1"/>
      <name val="Calibri"/>
      <family val="2"/>
      <scheme val="minor"/>
    </font>
    <font>
      <b/>
      <sz val="10"/>
      <color rgb="FF0000FF"/>
      <name val="Calibri"/>
      <family val="2"/>
      <scheme val="minor"/>
    </font>
    <font>
      <i/>
      <sz val="10"/>
      <color theme="1"/>
      <name val="Calibri"/>
      <family val="2"/>
      <scheme val="minor"/>
    </font>
    <font>
      <i/>
      <sz val="10"/>
      <color rgb="FF0000FF"/>
      <name val="Calibri"/>
      <family val="2"/>
      <scheme val="minor"/>
    </font>
    <font>
      <sz val="10"/>
      <color theme="1"/>
      <name val="Calibri"/>
      <family val="2"/>
      <scheme val="minor"/>
    </font>
    <font>
      <sz val="10"/>
      <color rgb="FF339966"/>
      <name val="Calibri"/>
      <family val="2"/>
      <scheme val="minor"/>
    </font>
    <font>
      <sz val="10"/>
      <color rgb="FF0000FF"/>
      <name val="Calibri"/>
      <family val="2"/>
      <scheme val="minor"/>
    </font>
    <font>
      <sz val="10"/>
      <color rgb="FFFF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u/>
      <sz val="10"/>
      <color theme="0"/>
      <name val="Calibri"/>
      <family val="2"/>
      <scheme val="minor"/>
    </font>
    <font>
      <i/>
      <sz val="11"/>
      <color theme="1"/>
      <name val="Calibri"/>
      <family val="2"/>
      <scheme val="minor"/>
    </font>
    <font>
      <sz val="9"/>
      <name val="Helv"/>
    </font>
    <font>
      <b/>
      <sz val="10"/>
      <name val="Calibri"/>
      <family val="2"/>
      <scheme val="minor"/>
    </font>
    <font>
      <sz val="10"/>
      <name val="Arial"/>
      <family val="2"/>
    </font>
    <font>
      <sz val="10"/>
      <name val="Helv"/>
    </font>
    <font>
      <b/>
      <sz val="9"/>
      <color indexed="81"/>
      <name val="Tahoma"/>
      <family val="2"/>
    </font>
    <font>
      <sz val="9"/>
      <color indexed="81"/>
      <name val="Tahoma"/>
      <family val="2"/>
    </font>
    <font>
      <sz val="11"/>
      <color rgb="FF0000FF"/>
      <name val="Calibri"/>
      <family val="2"/>
      <scheme val="minor"/>
    </font>
    <font>
      <i/>
      <sz val="11"/>
      <color rgb="FF00B050"/>
      <name val="Calibri"/>
      <family val="2"/>
      <scheme val="minor"/>
    </font>
    <font>
      <b/>
      <sz val="11"/>
      <name val="Calibri"/>
      <family val="2"/>
      <scheme val="minor"/>
    </font>
    <font>
      <b/>
      <i/>
      <sz val="10"/>
      <color theme="1"/>
      <name val="Calibri"/>
      <family val="2"/>
      <scheme val="minor"/>
    </font>
    <font>
      <b/>
      <sz val="11"/>
      <color rgb="FF1B1B1B"/>
      <name val="Arial"/>
      <family val="2"/>
    </font>
    <font>
      <sz val="11"/>
      <color rgb="FF1B1B1B"/>
      <name val="Arial"/>
      <family val="2"/>
    </font>
    <font>
      <b/>
      <sz val="11"/>
      <color rgb="FF0000FF"/>
      <name val="Calibri"/>
      <family val="2"/>
      <scheme val="minor"/>
    </font>
    <font>
      <i/>
      <sz val="10"/>
      <color theme="2" tint="-9.9978637043366805E-2"/>
      <name val="Calibri"/>
      <family val="2"/>
      <scheme val="minor"/>
    </font>
    <font>
      <b/>
      <u/>
      <sz val="11"/>
      <color theme="0"/>
      <name val="Calibri"/>
      <family val="2"/>
      <scheme val="minor"/>
    </font>
    <font>
      <sz val="11"/>
      <name val="Calibri"/>
      <family val="2"/>
      <scheme val="minor"/>
    </font>
    <font>
      <i/>
      <sz val="11"/>
      <name val="Calibri"/>
      <family val="2"/>
      <scheme val="minor"/>
    </font>
    <font>
      <b/>
      <u/>
      <sz val="11"/>
      <color theme="1"/>
      <name val="Calibri"/>
      <family val="2"/>
      <scheme val="minor"/>
    </font>
    <font>
      <i/>
      <sz val="11"/>
      <color rgb="FF0000FF"/>
      <name val="Calibri"/>
      <family val="2"/>
      <scheme val="minor"/>
    </font>
    <font>
      <sz val="10"/>
      <name val="Arial Narrow"/>
      <family val="2"/>
    </font>
    <font>
      <sz val="11"/>
      <color rgb="FF0070C0"/>
      <name val="Calibri"/>
      <family val="2"/>
      <scheme val="minor"/>
    </font>
    <font>
      <sz val="10"/>
      <color rgb="FF0000FF"/>
      <name val="Arial Narrow"/>
      <family val="2"/>
    </font>
    <font>
      <b/>
      <sz val="9"/>
      <color rgb="FF000000"/>
      <name val="Tahoma"/>
      <family val="2"/>
    </font>
    <font>
      <sz val="9"/>
      <color rgb="FF000000"/>
      <name val="Tahoma"/>
      <family val="2"/>
    </font>
    <font>
      <i/>
      <sz val="11"/>
      <color theme="9" tint="-0.249977111117893"/>
      <name val="Calibri"/>
      <family val="2"/>
      <scheme val="minor"/>
    </font>
    <font>
      <b/>
      <sz val="11"/>
      <color rgb="FFFF0000"/>
      <name val="Calibri"/>
      <family val="2"/>
      <scheme val="minor"/>
    </font>
    <font>
      <i/>
      <sz val="10"/>
      <name val="Calibri"/>
      <family val="2"/>
      <scheme val="minor"/>
    </font>
    <font>
      <sz val="9"/>
      <color indexed="81"/>
      <name val="Tahoma"/>
      <charset val="1"/>
    </font>
    <font>
      <b/>
      <sz val="9"/>
      <color indexed="81"/>
      <name val="Tahoma"/>
      <charset val="1"/>
    </font>
  </fonts>
  <fills count="1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rgb="FFF0F0F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8"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565C65"/>
      </left>
      <right style="medium">
        <color rgb="FF565C65"/>
      </right>
      <top style="medium">
        <color rgb="FF565C65"/>
      </top>
      <bottom style="medium">
        <color rgb="FF565C65"/>
      </bottom>
      <diagonal/>
    </border>
    <border>
      <left/>
      <right style="thin">
        <color indexed="64"/>
      </right>
      <top style="thin">
        <color indexed="64"/>
      </top>
      <bottom style="thin">
        <color indexed="64"/>
      </bottom>
      <diagonal/>
    </border>
  </borders>
  <cellStyleXfs count="8">
    <xf numFmtId="0" fontId="0" fillId="0" borderId="0"/>
    <xf numFmtId="44" fontId="11" fillId="0" borderId="0" applyFont="0" applyFill="0" applyBorder="0" applyAlignment="0" applyProtection="0"/>
    <xf numFmtId="9" fontId="11" fillId="0" borderId="0" applyFont="0" applyFill="0" applyBorder="0" applyAlignment="0" applyProtection="0"/>
    <xf numFmtId="0" fontId="16" fillId="0" borderId="0"/>
    <xf numFmtId="0" fontId="18" fillId="0" borderId="0"/>
    <xf numFmtId="4" fontId="19" fillId="0" borderId="0" applyFont="0" applyFill="0" applyBorder="0" applyAlignment="0" applyProtection="0"/>
    <xf numFmtId="0" fontId="16" fillId="0" borderId="0"/>
    <xf numFmtId="43" fontId="11" fillId="0" borderId="0" applyFont="0" applyFill="0" applyBorder="0" applyAlignment="0" applyProtection="0"/>
  </cellStyleXfs>
  <cellXfs count="402">
    <xf numFmtId="0" fontId="0" fillId="0" borderId="0" xfId="0"/>
    <xf numFmtId="0" fontId="2" fillId="0" borderId="0" xfId="0" applyFont="1"/>
    <xf numFmtId="0" fontId="0" fillId="0" borderId="2" xfId="0" applyBorder="1"/>
    <xf numFmtId="0" fontId="0" fillId="0" borderId="7" xfId="0" applyBorder="1"/>
    <xf numFmtId="0" fontId="0" fillId="0" borderId="0" xfId="0" applyAlignment="1">
      <alignment wrapText="1"/>
    </xf>
    <xf numFmtId="6" fontId="3" fillId="0" borderId="0" xfId="0" applyNumberFormat="1" applyFont="1" applyAlignment="1">
      <alignment horizontal="right" wrapText="1"/>
    </xf>
    <xf numFmtId="0" fontId="0" fillId="2" borderId="0" xfId="0" applyFill="1" applyAlignment="1">
      <alignment wrapText="1"/>
    </xf>
    <xf numFmtId="10" fontId="5" fillId="0" borderId="0" xfId="0" applyNumberFormat="1" applyFont="1" applyAlignment="1">
      <alignment horizontal="right" wrapText="1"/>
    </xf>
    <xf numFmtId="10" fontId="6" fillId="0" borderId="0" xfId="0" applyNumberFormat="1" applyFont="1" applyAlignment="1">
      <alignment horizontal="right" wrapText="1"/>
    </xf>
    <xf numFmtId="6" fontId="4" fillId="0" borderId="0" xfId="0" applyNumberFormat="1" applyFont="1" applyAlignment="1">
      <alignment horizontal="right" wrapText="1"/>
    </xf>
    <xf numFmtId="10" fontId="7" fillId="0" borderId="0" xfId="0" applyNumberFormat="1" applyFont="1" applyAlignment="1">
      <alignment horizontal="right" wrapText="1"/>
    </xf>
    <xf numFmtId="10" fontId="8" fillId="0" borderId="0" xfId="0" applyNumberFormat="1" applyFont="1" applyAlignment="1">
      <alignment horizontal="right" wrapText="1"/>
    </xf>
    <xf numFmtId="0" fontId="7" fillId="0" borderId="0" xfId="0" applyFont="1" applyAlignment="1">
      <alignment horizontal="right" wrapText="1"/>
    </xf>
    <xf numFmtId="6" fontId="3" fillId="2" borderId="0" xfId="0" applyNumberFormat="1" applyFont="1" applyFill="1" applyAlignment="1">
      <alignment horizontal="right" wrapText="1"/>
    </xf>
    <xf numFmtId="0" fontId="3" fillId="0" borderId="0" xfId="0" applyFont="1" applyAlignment="1">
      <alignment horizontal="right" wrapText="1"/>
    </xf>
    <xf numFmtId="0" fontId="3" fillId="2" borderId="0" xfId="0" applyFont="1" applyFill="1" applyAlignment="1">
      <alignment horizontal="right" wrapText="1"/>
    </xf>
    <xf numFmtId="3" fontId="3" fillId="0" borderId="0" xfId="0" applyNumberFormat="1" applyFont="1" applyAlignment="1">
      <alignment horizontal="right" wrapText="1"/>
    </xf>
    <xf numFmtId="8" fontId="3" fillId="0" borderId="0" xfId="0" applyNumberFormat="1" applyFont="1" applyAlignment="1">
      <alignment horizontal="right" wrapText="1"/>
    </xf>
    <xf numFmtId="3" fontId="3" fillId="2" borderId="0" xfId="0" applyNumberFormat="1" applyFont="1" applyFill="1" applyAlignment="1">
      <alignment horizontal="right" wrapText="1"/>
    </xf>
    <xf numFmtId="9" fontId="10" fillId="0" borderId="0" xfId="0" applyNumberFormat="1" applyFont="1" applyAlignment="1">
      <alignment horizontal="right" wrapText="1"/>
    </xf>
    <xf numFmtId="10" fontId="3" fillId="0" borderId="0" xfId="0" applyNumberFormat="1" applyFont="1" applyAlignment="1">
      <alignment horizontal="right" wrapText="1"/>
    </xf>
    <xf numFmtId="10" fontId="3" fillId="2" borderId="0" xfId="0" applyNumberFormat="1" applyFont="1" applyFill="1" applyAlignment="1">
      <alignment horizontal="right" wrapText="1"/>
    </xf>
    <xf numFmtId="0" fontId="3"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3" fillId="0" borderId="0" xfId="0" applyFont="1" applyAlignment="1">
      <alignment vertical="center"/>
    </xf>
    <xf numFmtId="0" fontId="3" fillId="2" borderId="0" xfId="0" applyFont="1" applyFill="1" applyAlignment="1">
      <alignment wrapText="1"/>
    </xf>
    <xf numFmtId="0" fontId="5" fillId="2" borderId="0" xfId="0" applyFont="1" applyFill="1" applyAlignment="1">
      <alignment wrapText="1"/>
    </xf>
    <xf numFmtId="0" fontId="13" fillId="4" borderId="0" xfId="0" applyFont="1" applyFill="1"/>
    <xf numFmtId="0" fontId="14" fillId="4" borderId="0" xfId="0" applyFont="1" applyFill="1" applyAlignment="1">
      <alignment horizontal="center" wrapText="1"/>
    </xf>
    <xf numFmtId="0" fontId="12" fillId="5" borderId="7" xfId="0" applyFont="1" applyFill="1" applyBorder="1" applyAlignment="1">
      <alignment wrapText="1"/>
    </xf>
    <xf numFmtId="0" fontId="13" fillId="0" borderId="0" xfId="0" applyFont="1"/>
    <xf numFmtId="0" fontId="14" fillId="0" borderId="0" xfId="0" applyFont="1" applyAlignment="1">
      <alignment horizontal="center" wrapText="1"/>
    </xf>
    <xf numFmtId="0" fontId="1" fillId="6" borderId="0" xfId="0" applyFont="1" applyFill="1" applyAlignment="1">
      <alignment wrapText="1"/>
    </xf>
    <xf numFmtId="0" fontId="1" fillId="0" borderId="0" xfId="0" applyFont="1"/>
    <xf numFmtId="0" fontId="1" fillId="0" borderId="0" xfId="0" applyFont="1" applyAlignment="1">
      <alignment horizontal="left"/>
    </xf>
    <xf numFmtId="0" fontId="15" fillId="0" borderId="0" xfId="0" applyFont="1" applyAlignment="1">
      <alignment horizontal="left" indent="2"/>
    </xf>
    <xf numFmtId="0" fontId="0" fillId="0" borderId="0" xfId="0" applyAlignment="1">
      <alignment horizontal="left" indent="2"/>
    </xf>
    <xf numFmtId="10" fontId="5" fillId="0" borderId="0" xfId="2" applyNumberFormat="1" applyFont="1" applyAlignment="1">
      <alignment wrapText="1"/>
    </xf>
    <xf numFmtId="0" fontId="15" fillId="2" borderId="0" xfId="0" applyFont="1" applyFill="1" applyAlignment="1">
      <alignment wrapText="1"/>
    </xf>
    <xf numFmtId="10" fontId="5" fillId="2" borderId="0" xfId="0" applyNumberFormat="1" applyFont="1" applyFill="1" applyAlignment="1">
      <alignment horizontal="right" wrapText="1"/>
    </xf>
    <xf numFmtId="0" fontId="15" fillId="0" borderId="0" xfId="0" applyFont="1"/>
    <xf numFmtId="0" fontId="15" fillId="0" borderId="0" xfId="0" applyFont="1" applyAlignment="1">
      <alignment wrapText="1"/>
    </xf>
    <xf numFmtId="2" fontId="3" fillId="0" borderId="0" xfId="0" applyNumberFormat="1" applyFont="1" applyAlignment="1">
      <alignment horizontal="right" wrapText="1"/>
    </xf>
    <xf numFmtId="3" fontId="17" fillId="0" borderId="0" xfId="0" applyNumberFormat="1" applyFont="1" applyAlignment="1">
      <alignment horizontal="right" wrapText="1"/>
    </xf>
    <xf numFmtId="167" fontId="17" fillId="0" borderId="0" xfId="1" applyNumberFormat="1" applyFont="1" applyAlignment="1">
      <alignment horizontal="right" vertical="top"/>
    </xf>
    <xf numFmtId="167" fontId="17" fillId="3" borderId="0" xfId="1" applyNumberFormat="1" applyFont="1" applyFill="1" applyAlignment="1">
      <alignment horizontal="right" vertical="top"/>
    </xf>
    <xf numFmtId="0" fontId="0" fillId="8" borderId="0" xfId="0" applyFill="1"/>
    <xf numFmtId="167" fontId="17" fillId="0" borderId="0" xfId="1" applyNumberFormat="1" applyFont="1" applyFill="1" applyAlignment="1">
      <alignment horizontal="right" vertical="top"/>
    </xf>
    <xf numFmtId="3" fontId="7" fillId="0" borderId="0" xfId="0" applyNumberFormat="1" applyFont="1" applyAlignment="1">
      <alignment horizontal="right" wrapText="1"/>
    </xf>
    <xf numFmtId="174" fontId="3" fillId="0" borderId="0" xfId="0" applyNumberFormat="1" applyFont="1" applyAlignment="1">
      <alignment horizontal="right" wrapText="1"/>
    </xf>
    <xf numFmtId="174" fontId="0" fillId="0" borderId="0" xfId="0" applyNumberFormat="1" applyAlignment="1">
      <alignment wrapText="1"/>
    </xf>
    <xf numFmtId="174" fontId="0" fillId="0" borderId="0" xfId="0" applyNumberFormat="1"/>
    <xf numFmtId="167" fontId="0" fillId="0" borderId="0" xfId="0" applyNumberFormat="1"/>
    <xf numFmtId="167" fontId="4" fillId="0" borderId="0" xfId="1" applyNumberFormat="1" applyFont="1" applyAlignment="1">
      <alignment horizontal="right" vertical="top"/>
    </xf>
    <xf numFmtId="0" fontId="22" fillId="0" borderId="0" xfId="0" applyFont="1"/>
    <xf numFmtId="2" fontId="4" fillId="0" borderId="0" xfId="0" applyNumberFormat="1" applyFont="1" applyAlignment="1">
      <alignment horizontal="right" wrapText="1"/>
    </xf>
    <xf numFmtId="10" fontId="6" fillId="0" borderId="0" xfId="2" applyNumberFormat="1" applyFont="1" applyAlignment="1">
      <alignment wrapText="1"/>
    </xf>
    <xf numFmtId="6" fontId="4" fillId="2" borderId="0" xfId="0" applyNumberFormat="1" applyFont="1" applyFill="1" applyAlignment="1">
      <alignment horizontal="right" wrapText="1"/>
    </xf>
    <xf numFmtId="10" fontId="6" fillId="2" borderId="0" xfId="0" applyNumberFormat="1" applyFont="1" applyFill="1" applyAlignment="1">
      <alignment horizontal="right" wrapText="1"/>
    </xf>
    <xf numFmtId="10" fontId="9" fillId="0" borderId="0" xfId="0" applyNumberFormat="1" applyFont="1" applyAlignment="1">
      <alignment horizontal="right" wrapText="1"/>
    </xf>
    <xf numFmtId="3" fontId="4" fillId="0" borderId="0" xfId="0" applyNumberFormat="1" applyFont="1" applyAlignment="1">
      <alignment horizontal="right" wrapText="1"/>
    </xf>
    <xf numFmtId="8" fontId="4" fillId="0" borderId="0" xfId="0" applyNumberFormat="1" applyFont="1" applyAlignment="1">
      <alignment horizontal="right" wrapText="1"/>
    </xf>
    <xf numFmtId="3" fontId="4" fillId="2" borderId="0" xfId="0" applyNumberFormat="1" applyFont="1" applyFill="1" applyAlignment="1">
      <alignment horizontal="right" wrapText="1"/>
    </xf>
    <xf numFmtId="174" fontId="4" fillId="0" borderId="0" xfId="0" applyNumberFormat="1" applyFont="1" applyAlignment="1">
      <alignment horizontal="right" wrapText="1"/>
    </xf>
    <xf numFmtId="9" fontId="0" fillId="0" borderId="0" xfId="2" applyFont="1"/>
    <xf numFmtId="10" fontId="0" fillId="0" borderId="0" xfId="2" applyNumberFormat="1" applyFont="1"/>
    <xf numFmtId="0" fontId="23" fillId="0" borderId="0" xfId="0" applyFont="1"/>
    <xf numFmtId="175" fontId="4" fillId="0" borderId="0" xfId="1" applyNumberFormat="1" applyFont="1" applyFill="1" applyAlignment="1">
      <alignment horizontal="right" vertical="top"/>
    </xf>
    <xf numFmtId="2" fontId="7" fillId="0" borderId="0" xfId="0" applyNumberFormat="1" applyFont="1" applyAlignment="1">
      <alignment horizontal="right" wrapText="1"/>
    </xf>
    <xf numFmtId="10" fontId="24" fillId="0" borderId="0" xfId="2" applyNumberFormat="1" applyFont="1"/>
    <xf numFmtId="10" fontId="1" fillId="0" borderId="0" xfId="2" applyNumberFormat="1" applyFont="1" applyFill="1"/>
    <xf numFmtId="10" fontId="25" fillId="0" borderId="0" xfId="0" applyNumberFormat="1" applyFont="1" applyAlignment="1">
      <alignment horizontal="right" wrapText="1"/>
    </xf>
    <xf numFmtId="10" fontId="17" fillId="0" borderId="0" xfId="0" applyNumberFormat="1" applyFont="1" applyAlignment="1">
      <alignment horizontal="right" wrapText="1"/>
    </xf>
    <xf numFmtId="0" fontId="0" fillId="0" borderId="9" xfId="0" applyBorder="1"/>
    <xf numFmtId="0" fontId="26" fillId="10" borderId="10" xfId="0" applyFont="1" applyFill="1" applyBorder="1" applyAlignment="1">
      <alignment horizontal="center" vertical="center" wrapText="1"/>
    </xf>
    <xf numFmtId="14" fontId="27" fillId="2" borderId="10" xfId="0" applyNumberFormat="1" applyFont="1" applyFill="1" applyBorder="1" applyAlignment="1">
      <alignment horizontal="center" vertical="center" wrapText="1"/>
    </xf>
    <xf numFmtId="3" fontId="27" fillId="2" borderId="10"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3" fontId="0" fillId="0" borderId="0" xfId="0" applyNumberFormat="1"/>
    <xf numFmtId="0" fontId="26" fillId="10" borderId="0" xfId="0" applyFont="1" applyFill="1" applyAlignment="1">
      <alignment horizontal="center" vertical="center" wrapText="1"/>
    </xf>
    <xf numFmtId="10" fontId="27" fillId="2" borderId="0" xfId="2" applyNumberFormat="1" applyFont="1" applyFill="1" applyBorder="1" applyAlignment="1">
      <alignment horizontal="center" vertical="center" wrapText="1"/>
    </xf>
    <xf numFmtId="0" fontId="15" fillId="0" borderId="0" xfId="0" applyFont="1" applyAlignment="1">
      <alignment horizontal="center"/>
    </xf>
    <xf numFmtId="10" fontId="1" fillId="8" borderId="0" xfId="2" applyNumberFormat="1" applyFont="1" applyFill="1" applyBorder="1" applyAlignment="1"/>
    <xf numFmtId="0" fontId="15" fillId="0" borderId="0" xfId="0" applyFont="1" applyAlignment="1">
      <alignment horizontal="centerContinuous"/>
    </xf>
    <xf numFmtId="9" fontId="28" fillId="0" borderId="0" xfId="0" applyNumberFormat="1" applyFont="1"/>
    <xf numFmtId="8" fontId="0" fillId="0" borderId="0" xfId="0" applyNumberFormat="1"/>
    <xf numFmtId="10" fontId="29" fillId="2" borderId="0" xfId="0" applyNumberFormat="1" applyFont="1" applyFill="1" applyAlignment="1">
      <alignment horizontal="right" wrapText="1"/>
    </xf>
    <xf numFmtId="0" fontId="30" fillId="4" borderId="0" xfId="0" applyFont="1" applyFill="1" applyAlignment="1">
      <alignment horizontal="center" wrapText="1"/>
    </xf>
    <xf numFmtId="167" fontId="31" fillId="0" borderId="0" xfId="1" applyNumberFormat="1" applyFont="1" applyAlignment="1">
      <alignment horizontal="right" vertical="top"/>
    </xf>
    <xf numFmtId="167" fontId="22" fillId="0" borderId="0" xfId="1" applyNumberFormat="1" applyFont="1" applyAlignment="1">
      <alignment horizontal="right" vertical="top"/>
    </xf>
    <xf numFmtId="0" fontId="0" fillId="0" borderId="7" xfId="0" applyBorder="1" applyAlignment="1">
      <alignment horizontal="left" indent="2"/>
    </xf>
    <xf numFmtId="167" fontId="31" fillId="0" borderId="7" xfId="1" applyNumberFormat="1" applyFont="1" applyBorder="1" applyAlignment="1">
      <alignment horizontal="right" vertical="top"/>
    </xf>
    <xf numFmtId="167" fontId="22" fillId="0" borderId="7" xfId="1" applyNumberFormat="1" applyFont="1" applyBorder="1" applyAlignment="1">
      <alignment horizontal="right" vertical="top"/>
    </xf>
    <xf numFmtId="164" fontId="24" fillId="0" borderId="0" xfId="0" applyNumberFormat="1" applyFont="1" applyAlignment="1">
      <alignment horizontal="right"/>
    </xf>
    <xf numFmtId="164" fontId="24" fillId="3" borderId="0" xfId="0" applyNumberFormat="1" applyFont="1" applyFill="1" applyAlignment="1">
      <alignment horizontal="right"/>
    </xf>
    <xf numFmtId="164" fontId="28" fillId="0" borderId="0" xfId="0" applyNumberFormat="1" applyFont="1" applyAlignment="1">
      <alignment horizontal="right"/>
    </xf>
    <xf numFmtId="165" fontId="31" fillId="7" borderId="7" xfId="3" applyNumberFormat="1" applyFont="1" applyFill="1" applyBorder="1" applyAlignment="1">
      <alignment horizontal="right"/>
    </xf>
    <xf numFmtId="165" fontId="22" fillId="7" borderId="7" xfId="3" applyNumberFormat="1" applyFont="1" applyFill="1" applyBorder="1" applyAlignment="1">
      <alignment horizontal="right"/>
    </xf>
    <xf numFmtId="166" fontId="31" fillId="0" borderId="0" xfId="2" applyNumberFormat="1" applyFont="1" applyAlignment="1">
      <alignment horizontal="right"/>
    </xf>
    <xf numFmtId="166" fontId="31" fillId="0" borderId="0" xfId="2" applyNumberFormat="1" applyFont="1" applyFill="1" applyAlignment="1">
      <alignment horizontal="right"/>
    </xf>
    <xf numFmtId="166" fontId="31" fillId="3" borderId="0" xfId="2" applyNumberFormat="1" applyFont="1" applyFill="1" applyAlignment="1">
      <alignment horizontal="right"/>
    </xf>
    <xf numFmtId="166" fontId="22" fillId="3" borderId="0" xfId="2" applyNumberFormat="1" applyFont="1" applyFill="1" applyAlignment="1">
      <alignment horizontal="right"/>
    </xf>
    <xf numFmtId="166" fontId="31" fillId="0" borderId="0" xfId="2" applyNumberFormat="1" applyFont="1" applyBorder="1" applyAlignment="1">
      <alignment horizontal="right"/>
    </xf>
    <xf numFmtId="166" fontId="31" fillId="0" borderId="0" xfId="2" applyNumberFormat="1" applyFont="1" applyFill="1" applyBorder="1" applyAlignment="1">
      <alignment horizontal="right"/>
    </xf>
    <xf numFmtId="166" fontId="31" fillId="3" borderId="0" xfId="2" applyNumberFormat="1" applyFont="1" applyFill="1" applyBorder="1" applyAlignment="1">
      <alignment horizontal="right"/>
    </xf>
    <xf numFmtId="172" fontId="24" fillId="0" borderId="0" xfId="4" applyNumberFormat="1" applyFont="1"/>
    <xf numFmtId="168" fontId="24" fillId="7" borderId="0" xfId="3" applyNumberFormat="1" applyFont="1" applyFill="1" applyAlignment="1">
      <alignment horizontal="left" indent="2"/>
    </xf>
    <xf numFmtId="168" fontId="31" fillId="0" borderId="0" xfId="3" applyNumberFormat="1" applyFont="1"/>
    <xf numFmtId="0" fontId="31" fillId="0" borderId="0" xfId="0" applyFont="1"/>
    <xf numFmtId="168" fontId="31" fillId="3" borderId="0" xfId="3" applyNumberFormat="1" applyFont="1" applyFill="1"/>
    <xf numFmtId="9" fontId="15" fillId="0" borderId="0" xfId="2" applyFont="1" applyBorder="1" applyAlignment="1">
      <alignment horizontal="left" indent="2"/>
    </xf>
    <xf numFmtId="166" fontId="31" fillId="0" borderId="0" xfId="2" applyNumberFormat="1" applyFont="1" applyFill="1" applyBorder="1"/>
    <xf numFmtId="166" fontId="22" fillId="0" borderId="0" xfId="2" applyNumberFormat="1" applyFont="1" applyFill="1" applyBorder="1"/>
    <xf numFmtId="164" fontId="31" fillId="0" borderId="0" xfId="0" applyNumberFormat="1" applyFont="1"/>
    <xf numFmtId="166" fontId="31" fillId="3" borderId="0" xfId="2" applyNumberFormat="1" applyFont="1" applyFill="1" applyBorder="1"/>
    <xf numFmtId="166" fontId="22" fillId="3" borderId="0" xfId="2" applyNumberFormat="1" applyFont="1" applyFill="1" applyBorder="1"/>
    <xf numFmtId="169" fontId="24" fillId="7" borderId="0" xfId="3" applyNumberFormat="1" applyFont="1" applyFill="1" applyAlignment="1">
      <alignment horizontal="left" indent="2"/>
    </xf>
    <xf numFmtId="169" fontId="31" fillId="0" borderId="0" xfId="3" applyNumberFormat="1" applyFont="1"/>
    <xf numFmtId="169" fontId="31" fillId="3" borderId="0" xfId="3" applyNumberFormat="1" applyFont="1" applyFill="1"/>
    <xf numFmtId="165" fontId="31" fillId="0" borderId="0" xfId="4" applyNumberFormat="1" applyFont="1"/>
    <xf numFmtId="164" fontId="24" fillId="0" borderId="2" xfId="4" applyNumberFormat="1" applyFont="1" applyBorder="1"/>
    <xf numFmtId="164" fontId="24" fillId="0" borderId="2" xfId="0" applyNumberFormat="1" applyFont="1" applyBorder="1"/>
    <xf numFmtId="164" fontId="24" fillId="0" borderId="0" xfId="0" applyNumberFormat="1" applyFont="1"/>
    <xf numFmtId="164" fontId="24" fillId="0" borderId="0" xfId="4" applyNumberFormat="1" applyFont="1"/>
    <xf numFmtId="0" fontId="24" fillId="0" borderId="0" xfId="4" applyFont="1"/>
    <xf numFmtId="166" fontId="24" fillId="0" borderId="0" xfId="2" applyNumberFormat="1" applyFont="1" applyFill="1" applyBorder="1"/>
    <xf numFmtId="1" fontId="31" fillId="0" borderId="0" xfId="0" applyNumberFormat="1" applyFont="1"/>
    <xf numFmtId="166" fontId="31" fillId="0" borderId="0" xfId="4" applyNumberFormat="1" applyFont="1"/>
    <xf numFmtId="166" fontId="31" fillId="0" borderId="0" xfId="2" applyNumberFormat="1" applyFont="1" applyBorder="1"/>
    <xf numFmtId="0" fontId="31" fillId="3" borderId="0" xfId="0" applyFont="1" applyFill="1"/>
    <xf numFmtId="168" fontId="31" fillId="7" borderId="0" xfId="3" applyNumberFormat="1" applyFont="1" applyFill="1" applyAlignment="1">
      <alignment horizontal="left"/>
    </xf>
    <xf numFmtId="169" fontId="22" fillId="3" borderId="0" xfId="3" applyNumberFormat="1" applyFont="1" applyFill="1"/>
    <xf numFmtId="169" fontId="31" fillId="7" borderId="0" xfId="3" applyNumberFormat="1" applyFont="1" applyFill="1" applyAlignment="1">
      <alignment horizontal="left"/>
    </xf>
    <xf numFmtId="164" fontId="31" fillId="0" borderId="0" xfId="4" applyNumberFormat="1" applyFont="1"/>
    <xf numFmtId="164" fontId="31" fillId="3" borderId="0" xfId="0" applyNumberFormat="1" applyFont="1" applyFill="1"/>
    <xf numFmtId="164" fontId="24" fillId="3" borderId="0" xfId="0" applyNumberFormat="1" applyFont="1" applyFill="1"/>
    <xf numFmtId="166" fontId="31" fillId="7" borderId="0" xfId="4" applyNumberFormat="1" applyFont="1" applyFill="1"/>
    <xf numFmtId="9" fontId="15" fillId="0" borderId="0" xfId="2" applyFont="1" applyBorder="1"/>
    <xf numFmtId="169" fontId="31" fillId="7" borderId="0" xfId="3" applyNumberFormat="1" applyFont="1" applyFill="1"/>
    <xf numFmtId="173" fontId="31" fillId="0" borderId="0" xfId="4" applyNumberFormat="1" applyFont="1"/>
    <xf numFmtId="171" fontId="31" fillId="0" borderId="0" xfId="6" applyNumberFormat="1" applyFont="1"/>
    <xf numFmtId="168" fontId="24" fillId="0" borderId="0" xfId="3" applyNumberFormat="1" applyFont="1"/>
    <xf numFmtId="168" fontId="24" fillId="3" borderId="0" xfId="3" applyNumberFormat="1" applyFont="1" applyFill="1"/>
    <xf numFmtId="168" fontId="1" fillId="0" borderId="0" xfId="0" applyNumberFormat="1" applyFont="1"/>
    <xf numFmtId="169" fontId="24" fillId="0" borderId="0" xfId="3" applyNumberFormat="1" applyFont="1"/>
    <xf numFmtId="164" fontId="28" fillId="0" borderId="0" xfId="0" applyNumberFormat="1" applyFont="1"/>
    <xf numFmtId="168" fontId="22" fillId="3" borderId="0" xfId="3" applyNumberFormat="1" applyFont="1" applyFill="1"/>
    <xf numFmtId="164" fontId="22" fillId="0" borderId="0" xfId="0" applyNumberFormat="1" applyFont="1"/>
    <xf numFmtId="166" fontId="22" fillId="0" borderId="0" xfId="2" applyNumberFormat="1" applyFont="1" applyBorder="1"/>
    <xf numFmtId="171" fontId="22" fillId="0" borderId="0" xfId="6" applyNumberFormat="1" applyFont="1"/>
    <xf numFmtId="176" fontId="1" fillId="0" borderId="0" xfId="0" applyNumberFormat="1" applyFont="1"/>
    <xf numFmtId="1" fontId="28" fillId="0" borderId="0" xfId="1" applyNumberFormat="1" applyFont="1"/>
    <xf numFmtId="5" fontId="28" fillId="0" borderId="0" xfId="0" applyNumberFormat="1" applyFont="1"/>
    <xf numFmtId="169" fontId="32" fillId="7" borderId="0" xfId="3" applyNumberFormat="1" applyFont="1" applyFill="1" applyAlignment="1">
      <alignment horizontal="left" indent="2"/>
    </xf>
    <xf numFmtId="5" fontId="28" fillId="0" borderId="2" xfId="0" applyNumberFormat="1" applyFont="1" applyBorder="1"/>
    <xf numFmtId="166" fontId="28" fillId="0" borderId="0" xfId="2" applyNumberFormat="1" applyFont="1"/>
    <xf numFmtId="166" fontId="24" fillId="0" borderId="0" xfId="2" applyNumberFormat="1" applyFont="1" applyFill="1" applyBorder="1" applyAlignment="1">
      <alignment horizontal="right"/>
    </xf>
    <xf numFmtId="166" fontId="28" fillId="0" borderId="0" xfId="2" applyNumberFormat="1" applyFont="1" applyFill="1" applyBorder="1"/>
    <xf numFmtId="9" fontId="22" fillId="0" borderId="0" xfId="0" applyNumberFormat="1" applyFont="1"/>
    <xf numFmtId="0" fontId="0" fillId="6" borderId="0" xfId="0" applyFill="1"/>
    <xf numFmtId="167" fontId="31" fillId="6" borderId="0" xfId="1" applyNumberFormat="1" applyFont="1" applyFill="1" applyAlignment="1">
      <alignment horizontal="right" vertical="top"/>
    </xf>
    <xf numFmtId="167" fontId="31" fillId="6" borderId="7" xfId="1" applyNumberFormat="1" applyFont="1" applyFill="1" applyBorder="1" applyAlignment="1">
      <alignment horizontal="right" vertical="top"/>
    </xf>
    <xf numFmtId="0" fontId="31" fillId="6" borderId="0" xfId="0" applyFont="1" applyFill="1" applyAlignment="1">
      <alignment horizontal="right"/>
    </xf>
    <xf numFmtId="165" fontId="31" fillId="6" borderId="7" xfId="3" applyNumberFormat="1" applyFont="1" applyFill="1" applyBorder="1" applyAlignment="1">
      <alignment horizontal="right"/>
    </xf>
    <xf numFmtId="0" fontId="24" fillId="6" borderId="0" xfId="0" applyFont="1" applyFill="1"/>
    <xf numFmtId="166" fontId="31" fillId="6" borderId="0" xfId="2" applyNumberFormat="1" applyFont="1" applyFill="1" applyBorder="1"/>
    <xf numFmtId="164" fontId="31" fillId="6" borderId="0" xfId="0" applyNumberFormat="1" applyFont="1" applyFill="1"/>
    <xf numFmtId="0" fontId="31" fillId="6" borderId="0" xfId="0" applyFont="1" applyFill="1"/>
    <xf numFmtId="164" fontId="24" fillId="6" borderId="0" xfId="0" applyNumberFormat="1" applyFont="1" applyFill="1"/>
    <xf numFmtId="166" fontId="31" fillId="6" borderId="0" xfId="2" applyNumberFormat="1" applyFont="1" applyFill="1" applyAlignment="1">
      <alignment horizontal="right"/>
    </xf>
    <xf numFmtId="166" fontId="31" fillId="6" borderId="0" xfId="2" applyNumberFormat="1" applyFont="1" applyFill="1" applyBorder="1" applyAlignment="1">
      <alignment horizontal="right"/>
    </xf>
    <xf numFmtId="166" fontId="24" fillId="6" borderId="0" xfId="2" applyNumberFormat="1" applyFont="1" applyFill="1" applyBorder="1"/>
    <xf numFmtId="168" fontId="31" fillId="6" borderId="0" xfId="3" applyNumberFormat="1" applyFont="1" applyFill="1"/>
    <xf numFmtId="169" fontId="31" fillId="6" borderId="0" xfId="3" applyNumberFormat="1" applyFont="1" applyFill="1"/>
    <xf numFmtId="171" fontId="31" fillId="6" borderId="0" xfId="6" applyNumberFormat="1" applyFont="1" applyFill="1"/>
    <xf numFmtId="0" fontId="0" fillId="6" borderId="7" xfId="0" applyFill="1" applyBorder="1"/>
    <xf numFmtId="0" fontId="22" fillId="6" borderId="0" xfId="0" applyFont="1" applyFill="1"/>
    <xf numFmtId="166" fontId="28" fillId="6" borderId="0" xfId="2" applyNumberFormat="1" applyFont="1" applyFill="1"/>
    <xf numFmtId="166" fontId="22" fillId="6" borderId="0" xfId="2" applyNumberFormat="1" applyFont="1" applyFill="1"/>
    <xf numFmtId="167" fontId="22" fillId="6" borderId="0" xfId="1" applyNumberFormat="1" applyFont="1" applyFill="1" applyAlignment="1">
      <alignment horizontal="right" vertical="top"/>
    </xf>
    <xf numFmtId="167" fontId="22" fillId="6" borderId="7" xfId="1" applyNumberFormat="1" applyFont="1" applyFill="1" applyBorder="1" applyAlignment="1">
      <alignment horizontal="right" vertical="top"/>
    </xf>
    <xf numFmtId="165" fontId="22" fillId="6" borderId="7" xfId="3" applyNumberFormat="1" applyFont="1" applyFill="1" applyBorder="1" applyAlignment="1">
      <alignment horizontal="right"/>
    </xf>
    <xf numFmtId="166" fontId="22" fillId="6" borderId="0" xfId="2" applyNumberFormat="1" applyFont="1" applyFill="1" applyAlignment="1">
      <alignment horizontal="right"/>
    </xf>
    <xf numFmtId="0" fontId="33" fillId="6" borderId="0" xfId="0" applyFont="1" applyFill="1" applyAlignment="1">
      <alignment horizontal="center" wrapText="1"/>
    </xf>
    <xf numFmtId="168" fontId="24" fillId="6" borderId="0" xfId="0" applyNumberFormat="1" applyFont="1" applyFill="1"/>
    <xf numFmtId="166" fontId="31" fillId="6" borderId="0" xfId="2" applyNumberFormat="1" applyFont="1" applyFill="1"/>
    <xf numFmtId="169" fontId="24" fillId="6" borderId="0" xfId="0" applyNumberFormat="1" applyFont="1" applyFill="1"/>
    <xf numFmtId="167" fontId="24" fillId="6" borderId="0" xfId="0" applyNumberFormat="1" applyFont="1" applyFill="1" applyAlignment="1">
      <alignment horizontal="right"/>
    </xf>
    <xf numFmtId="167" fontId="28" fillId="6" borderId="0" xfId="0" applyNumberFormat="1" applyFont="1" applyFill="1" applyAlignment="1">
      <alignment horizontal="right"/>
    </xf>
    <xf numFmtId="165" fontId="31" fillId="6" borderId="0" xfId="0" applyNumberFormat="1" applyFont="1" applyFill="1"/>
    <xf numFmtId="168" fontId="24" fillId="6" borderId="2" xfId="0" applyNumberFormat="1" applyFont="1" applyFill="1" applyBorder="1"/>
    <xf numFmtId="168" fontId="28" fillId="6" borderId="0" xfId="0" applyNumberFormat="1" applyFont="1" applyFill="1"/>
    <xf numFmtId="166" fontId="22" fillId="6" borderId="0" xfId="2" applyNumberFormat="1" applyFont="1" applyFill="1" applyBorder="1"/>
    <xf numFmtId="169" fontId="28" fillId="6" borderId="0" xfId="0" applyNumberFormat="1" applyFont="1" applyFill="1"/>
    <xf numFmtId="165" fontId="22" fillId="6" borderId="0" xfId="0" applyNumberFormat="1" applyFont="1" applyFill="1"/>
    <xf numFmtId="168" fontId="28" fillId="6" borderId="2" xfId="0" applyNumberFormat="1" applyFont="1" applyFill="1" applyBorder="1"/>
    <xf numFmtId="164" fontId="32" fillId="0" borderId="0" xfId="4" applyNumberFormat="1" applyFont="1" applyAlignment="1">
      <alignment horizontal="left" indent="2"/>
    </xf>
    <xf numFmtId="168" fontId="24" fillId="6" borderId="0" xfId="0" applyNumberFormat="1" applyFont="1" applyFill="1" applyAlignment="1">
      <alignment horizontal="right"/>
    </xf>
    <xf numFmtId="164" fontId="28" fillId="6" borderId="0" xfId="0" applyNumberFormat="1" applyFont="1" applyFill="1"/>
    <xf numFmtId="166" fontId="24" fillId="6" borderId="0" xfId="2" applyNumberFormat="1" applyFont="1" applyFill="1"/>
    <xf numFmtId="166" fontId="28" fillId="6" borderId="0" xfId="2" applyNumberFormat="1" applyFont="1" applyFill="1" applyBorder="1"/>
    <xf numFmtId="168" fontId="31" fillId="6" borderId="0" xfId="0" applyNumberFormat="1" applyFont="1" applyFill="1"/>
    <xf numFmtId="169" fontId="31" fillId="6" borderId="0" xfId="0" applyNumberFormat="1" applyFont="1" applyFill="1"/>
    <xf numFmtId="168" fontId="22" fillId="6" borderId="0" xfId="0" applyNumberFormat="1" applyFont="1" applyFill="1"/>
    <xf numFmtId="169" fontId="22" fillId="6" borderId="0" xfId="0" applyNumberFormat="1" applyFont="1" applyFill="1"/>
    <xf numFmtId="164" fontId="22" fillId="6" borderId="0" xfId="0" applyNumberFormat="1" applyFont="1" applyFill="1"/>
    <xf numFmtId="0" fontId="11" fillId="0" borderId="0" xfId="0" applyFont="1"/>
    <xf numFmtId="168" fontId="31" fillId="3" borderId="0" xfId="3" quotePrefix="1" applyNumberFormat="1" applyFont="1" applyFill="1" applyAlignment="1">
      <alignment horizontal="left" indent="2"/>
    </xf>
    <xf numFmtId="169" fontId="31" fillId="3" borderId="0" xfId="3" applyNumberFormat="1" applyFont="1" applyFill="1" applyAlignment="1">
      <alignment horizontal="left" indent="2"/>
    </xf>
    <xf numFmtId="168" fontId="31" fillId="7" borderId="0" xfId="3" applyNumberFormat="1" applyFont="1" applyFill="1" applyAlignment="1">
      <alignment horizontal="left" indent="2"/>
    </xf>
    <xf numFmtId="169" fontId="31" fillId="7" borderId="0" xfId="3" applyNumberFormat="1" applyFont="1" applyFill="1" applyAlignment="1">
      <alignment horizontal="left" indent="2"/>
    </xf>
    <xf numFmtId="7" fontId="0" fillId="0" borderId="0" xfId="0" applyNumberFormat="1"/>
    <xf numFmtId="166" fontId="0" fillId="0" borderId="0" xfId="2" applyNumberFormat="1" applyFont="1"/>
    <xf numFmtId="0" fontId="0" fillId="0" borderId="0" xfId="1" applyNumberFormat="1" applyFont="1"/>
    <xf numFmtId="0" fontId="22" fillId="6" borderId="0" xfId="1" applyNumberFormat="1" applyFont="1" applyFill="1"/>
    <xf numFmtId="164" fontId="24" fillId="0" borderId="7" xfId="4" applyNumberFormat="1" applyFont="1" applyBorder="1"/>
    <xf numFmtId="0" fontId="28" fillId="6" borderId="7" xfId="1" applyNumberFormat="1" applyFont="1" applyFill="1" applyBorder="1"/>
    <xf numFmtId="0" fontId="0" fillId="0" borderId="0" xfId="1" applyNumberFormat="1" applyFont="1" applyBorder="1"/>
    <xf numFmtId="0" fontId="0" fillId="6" borderId="0" xfId="1" applyNumberFormat="1" applyFont="1" applyFill="1" applyBorder="1"/>
    <xf numFmtId="0" fontId="22" fillId="6" borderId="0" xfId="1" applyNumberFormat="1" applyFont="1" applyFill="1" applyBorder="1"/>
    <xf numFmtId="1" fontId="22" fillId="6" borderId="0" xfId="1" applyNumberFormat="1" applyFont="1" applyFill="1"/>
    <xf numFmtId="1" fontId="28" fillId="6" borderId="7" xfId="1" applyNumberFormat="1" applyFont="1" applyFill="1" applyBorder="1"/>
    <xf numFmtId="177" fontId="0" fillId="0" borderId="0" xfId="0" applyNumberFormat="1"/>
    <xf numFmtId="177" fontId="0" fillId="6" borderId="0" xfId="0" applyNumberFormat="1" applyFill="1"/>
    <xf numFmtId="166" fontId="15" fillId="0" borderId="0" xfId="2" applyNumberFormat="1" applyFont="1"/>
    <xf numFmtId="166" fontId="15" fillId="6" borderId="0" xfId="2" applyNumberFormat="1" applyFont="1" applyFill="1"/>
    <xf numFmtId="166" fontId="34" fillId="0" borderId="0" xfId="2" applyNumberFormat="1" applyFont="1"/>
    <xf numFmtId="166" fontId="34" fillId="6" borderId="0" xfId="2" applyNumberFormat="1" applyFont="1" applyFill="1"/>
    <xf numFmtId="169" fontId="32" fillId="3" borderId="0" xfId="3" applyNumberFormat="1" applyFont="1" applyFill="1" applyAlignment="1">
      <alignment horizontal="left" indent="4"/>
    </xf>
    <xf numFmtId="169" fontId="24" fillId="3" borderId="0" xfId="3" applyNumberFormat="1" applyFont="1" applyFill="1" applyAlignment="1">
      <alignment horizontal="left" indent="2"/>
    </xf>
    <xf numFmtId="169" fontId="24" fillId="7" borderId="0" xfId="3" applyNumberFormat="1" applyFont="1" applyFill="1" applyAlignment="1">
      <alignment horizontal="left" indent="4"/>
    </xf>
    <xf numFmtId="169" fontId="32" fillId="7" borderId="0" xfId="3" applyNumberFormat="1" applyFont="1" applyFill="1" applyAlignment="1">
      <alignment horizontal="left" indent="4"/>
    </xf>
    <xf numFmtId="166" fontId="15" fillId="6" borderId="0" xfId="0" applyNumberFormat="1" applyFont="1" applyFill="1"/>
    <xf numFmtId="0" fontId="15" fillId="6" borderId="0" xfId="0" applyFont="1" applyFill="1"/>
    <xf numFmtId="172" fontId="24" fillId="3" borderId="7" xfId="4" applyNumberFormat="1" applyFont="1" applyFill="1" applyBorder="1"/>
    <xf numFmtId="0" fontId="22" fillId="0" borderId="7" xfId="0" applyFont="1" applyBorder="1"/>
    <xf numFmtId="172" fontId="24" fillId="0" borderId="7" xfId="4" applyNumberFormat="1" applyFont="1" applyBorder="1"/>
    <xf numFmtId="168" fontId="24" fillId="7" borderId="7" xfId="3" applyNumberFormat="1" applyFont="1" applyFill="1" applyBorder="1"/>
    <xf numFmtId="164" fontId="24" fillId="0" borderId="7" xfId="0" applyNumberFormat="1" applyFont="1" applyBorder="1"/>
    <xf numFmtId="164" fontId="24" fillId="6" borderId="7" xfId="0" applyNumberFormat="1" applyFont="1" applyFill="1" applyBorder="1"/>
    <xf numFmtId="164" fontId="28" fillId="0" borderId="7" xfId="0" applyNumberFormat="1" applyFont="1" applyBorder="1"/>
    <xf numFmtId="164" fontId="28" fillId="6" borderId="7" xfId="0" applyNumberFormat="1" applyFont="1" applyFill="1" applyBorder="1"/>
    <xf numFmtId="170" fontId="24" fillId="9" borderId="7" xfId="0" applyNumberFormat="1" applyFont="1" applyFill="1" applyBorder="1"/>
    <xf numFmtId="170" fontId="24" fillId="6" borderId="7" xfId="0" applyNumberFormat="1" applyFont="1" applyFill="1" applyBorder="1"/>
    <xf numFmtId="170" fontId="28" fillId="9" borderId="7" xfId="0" applyNumberFormat="1" applyFont="1" applyFill="1" applyBorder="1"/>
    <xf numFmtId="170" fontId="28" fillId="6" borderId="7" xfId="0" applyNumberFormat="1" applyFont="1" applyFill="1" applyBorder="1"/>
    <xf numFmtId="0" fontId="24" fillId="9" borderId="7" xfId="4" applyFont="1" applyFill="1" applyBorder="1"/>
    <xf numFmtId="166" fontId="31" fillId="0" borderId="7" xfId="4" applyNumberFormat="1" applyFont="1" applyBorder="1"/>
    <xf numFmtId="166" fontId="31" fillId="0" borderId="7" xfId="2" applyNumberFormat="1" applyFont="1" applyBorder="1"/>
    <xf numFmtId="166" fontId="31" fillId="6" borderId="7" xfId="2" applyNumberFormat="1" applyFont="1" applyFill="1" applyBorder="1"/>
    <xf numFmtId="166" fontId="22" fillId="0" borderId="7" xfId="2" applyNumberFormat="1" applyFont="1" applyBorder="1"/>
    <xf numFmtId="166" fontId="22" fillId="6" borderId="7" xfId="2" applyNumberFormat="1" applyFont="1" applyFill="1" applyBorder="1"/>
    <xf numFmtId="41" fontId="0" fillId="0" borderId="0" xfId="0" applyNumberFormat="1"/>
    <xf numFmtId="41" fontId="0" fillId="6" borderId="0" xfId="0" applyNumberFormat="1" applyFill="1"/>
    <xf numFmtId="41" fontId="22" fillId="0" borderId="0" xfId="0" applyNumberFormat="1" applyFont="1"/>
    <xf numFmtId="41" fontId="0" fillId="0" borderId="0" xfId="1" applyNumberFormat="1" applyFont="1"/>
    <xf numFmtId="41" fontId="0" fillId="6" borderId="0" xfId="1" applyNumberFormat="1" applyFont="1" applyFill="1"/>
    <xf numFmtId="41" fontId="22" fillId="6" borderId="0" xfId="1" applyNumberFormat="1" applyFont="1" applyFill="1"/>
    <xf numFmtId="41" fontId="22" fillId="6" borderId="0" xfId="0" applyNumberFormat="1" applyFont="1" applyFill="1"/>
    <xf numFmtId="41" fontId="0" fillId="0" borderId="7" xfId="0" applyNumberFormat="1" applyBorder="1"/>
    <xf numFmtId="41" fontId="0" fillId="6" borderId="7" xfId="0" applyNumberFormat="1" applyFill="1" applyBorder="1"/>
    <xf numFmtId="178" fontId="1" fillId="6" borderId="7" xfId="1" applyNumberFormat="1" applyFont="1" applyFill="1" applyBorder="1"/>
    <xf numFmtId="41" fontId="1" fillId="0" borderId="7" xfId="1" applyNumberFormat="1" applyFont="1" applyBorder="1"/>
    <xf numFmtId="41" fontId="1" fillId="6" borderId="7" xfId="1" applyNumberFormat="1" applyFont="1" applyFill="1" applyBorder="1"/>
    <xf numFmtId="41" fontId="1" fillId="0" borderId="7" xfId="0" applyNumberFormat="1" applyFont="1" applyBorder="1"/>
    <xf numFmtId="0" fontId="1" fillId="6" borderId="7" xfId="0" applyFont="1" applyFill="1" applyBorder="1"/>
    <xf numFmtId="41" fontId="1" fillId="6" borderId="7" xfId="0" applyNumberFormat="1" applyFont="1" applyFill="1" applyBorder="1"/>
    <xf numFmtId="168" fontId="24" fillId="7" borderId="0" xfId="3" applyNumberFormat="1" applyFont="1" applyFill="1" applyAlignment="1">
      <alignment horizontal="left"/>
    </xf>
    <xf numFmtId="41" fontId="1" fillId="0" borderId="0" xfId="0" applyNumberFormat="1" applyFont="1"/>
    <xf numFmtId="41" fontId="1" fillId="6" borderId="0" xfId="0" applyNumberFormat="1" applyFont="1" applyFill="1"/>
    <xf numFmtId="179" fontId="24" fillId="0" borderId="0" xfId="0" applyNumberFormat="1" applyFont="1"/>
    <xf numFmtId="0" fontId="24" fillId="0" borderId="0" xfId="0" applyFont="1"/>
    <xf numFmtId="179" fontId="31" fillId="0" borderId="0" xfId="0" applyNumberFormat="1" applyFont="1" applyAlignment="1">
      <alignment horizontal="left" indent="2"/>
    </xf>
    <xf numFmtId="0" fontId="31" fillId="0" borderId="0" xfId="0" applyFont="1" applyAlignment="1">
      <alignment horizontal="left" indent="2"/>
    </xf>
    <xf numFmtId="41" fontId="28" fillId="0" borderId="0" xfId="0" applyNumberFormat="1" applyFont="1"/>
    <xf numFmtId="0" fontId="22" fillId="0" borderId="0" xfId="1" applyNumberFormat="1" applyFont="1" applyBorder="1"/>
    <xf numFmtId="0" fontId="22" fillId="6" borderId="7" xfId="0" applyFont="1" applyFill="1" applyBorder="1"/>
    <xf numFmtId="0" fontId="34" fillId="6" borderId="0" xfId="0" applyFont="1" applyFill="1"/>
    <xf numFmtId="166" fontId="22" fillId="0" borderId="0" xfId="2" applyNumberFormat="1" applyFont="1"/>
    <xf numFmtId="41" fontId="28" fillId="0" borderId="7" xfId="0" applyNumberFormat="1" applyFont="1" applyBorder="1"/>
    <xf numFmtId="41" fontId="22" fillId="0" borderId="7" xfId="0" applyNumberFormat="1" applyFont="1" applyBorder="1"/>
    <xf numFmtId="41" fontId="22" fillId="6" borderId="7" xfId="0" applyNumberFormat="1" applyFont="1" applyFill="1" applyBorder="1"/>
    <xf numFmtId="0" fontId="28" fillId="6" borderId="0" xfId="0" applyFont="1" applyFill="1"/>
    <xf numFmtId="41" fontId="28" fillId="6" borderId="0" xfId="0" applyNumberFormat="1" applyFont="1" applyFill="1"/>
    <xf numFmtId="0" fontId="1" fillId="0" borderId="7" xfId="0" applyFont="1" applyBorder="1"/>
    <xf numFmtId="0" fontId="24" fillId="0" borderId="0" xfId="0" applyFont="1" applyAlignment="1">
      <alignment horizontal="left"/>
    </xf>
    <xf numFmtId="0" fontId="31" fillId="0" borderId="0" xfId="0" applyFont="1" applyAlignment="1">
      <alignment horizontal="left"/>
    </xf>
    <xf numFmtId="0" fontId="24" fillId="0" borderId="0" xfId="0" applyFont="1" applyAlignment="1">
      <alignment horizontal="left" vertical="top"/>
    </xf>
    <xf numFmtId="0" fontId="24" fillId="0" borderId="7" xfId="0" applyFont="1" applyBorder="1" applyAlignment="1">
      <alignment horizontal="left"/>
    </xf>
    <xf numFmtId="0" fontId="24" fillId="0" borderId="7" xfId="0" applyFont="1" applyBorder="1" applyAlignment="1">
      <alignment horizontal="left" vertical="top"/>
    </xf>
    <xf numFmtId="0" fontId="31" fillId="0" borderId="0" xfId="0" applyFont="1" applyAlignment="1">
      <alignment horizontal="left" vertical="top" indent="2"/>
    </xf>
    <xf numFmtId="179" fontId="24" fillId="0" borderId="0" xfId="0" applyNumberFormat="1" applyFont="1" applyAlignment="1">
      <alignment horizontal="left" indent="2"/>
    </xf>
    <xf numFmtId="166" fontId="15" fillId="0" borderId="0" xfId="0" applyNumberFormat="1" applyFont="1"/>
    <xf numFmtId="180" fontId="0" fillId="0" borderId="2" xfId="0" applyNumberFormat="1" applyBorder="1"/>
    <xf numFmtId="10" fontId="0" fillId="0" borderId="0" xfId="0" applyNumberFormat="1"/>
    <xf numFmtId="10" fontId="36" fillId="0" borderId="0" xfId="0" applyNumberFormat="1" applyFont="1"/>
    <xf numFmtId="181" fontId="0" fillId="0" borderId="0" xfId="0" applyNumberFormat="1"/>
    <xf numFmtId="181" fontId="36" fillId="0" borderId="0" xfId="0" applyNumberFormat="1" applyFont="1"/>
    <xf numFmtId="49" fontId="0" fillId="0" borderId="0" xfId="0" applyNumberFormat="1"/>
    <xf numFmtId="0" fontId="36" fillId="0" borderId="0" xfId="0" applyFont="1" applyAlignment="1">
      <alignment horizontal="right"/>
    </xf>
    <xf numFmtId="41" fontId="11" fillId="0" borderId="0" xfId="1" applyNumberFormat="1" applyFont="1"/>
    <xf numFmtId="41" fontId="22" fillId="0" borderId="0" xfId="1" applyNumberFormat="1" applyFont="1"/>
    <xf numFmtId="180" fontId="22" fillId="0" borderId="2" xfId="0" applyNumberFormat="1" applyFont="1" applyBorder="1"/>
    <xf numFmtId="1" fontId="0" fillId="0" borderId="0" xfId="0" applyNumberFormat="1"/>
    <xf numFmtId="10" fontId="22" fillId="0" borderId="0" xfId="0" applyNumberFormat="1" applyFont="1"/>
    <xf numFmtId="166" fontId="34" fillId="0" borderId="0" xfId="0" applyNumberFormat="1" applyFont="1"/>
    <xf numFmtId="166" fontId="34" fillId="6" borderId="0" xfId="0" applyNumberFormat="1" applyFont="1" applyFill="1"/>
    <xf numFmtId="183" fontId="35" fillId="0" borderId="0" xfId="0" applyNumberFormat="1" applyFont="1" applyAlignment="1">
      <alignment horizontal="right"/>
    </xf>
    <xf numFmtId="0" fontId="0" fillId="0" borderId="1" xfId="0" applyBorder="1"/>
    <xf numFmtId="0" fontId="22" fillId="0" borderId="2" xfId="0" applyFont="1" applyBorder="1"/>
    <xf numFmtId="0" fontId="0" fillId="0" borderId="3" xfId="0" applyBorder="1"/>
    <xf numFmtId="0" fontId="0" fillId="0" borderId="4" xfId="0" applyBorder="1"/>
    <xf numFmtId="0" fontId="0" fillId="0" borderId="5" xfId="0" applyBorder="1"/>
    <xf numFmtId="0" fontId="35" fillId="0" borderId="0" xfId="0" applyFont="1" applyAlignment="1">
      <alignment horizontal="right"/>
    </xf>
    <xf numFmtId="182" fontId="0" fillId="0" borderId="0" xfId="0" applyNumberFormat="1"/>
    <xf numFmtId="0" fontId="0" fillId="0" borderId="6" xfId="0" applyBorder="1"/>
    <xf numFmtId="0" fontId="31" fillId="0" borderId="7" xfId="0" applyFont="1" applyBorder="1"/>
    <xf numFmtId="43" fontId="0" fillId="0" borderId="7" xfId="0" applyNumberFormat="1" applyBorder="1"/>
    <xf numFmtId="0" fontId="0" fillId="0" borderId="8" xfId="0" applyBorder="1"/>
    <xf numFmtId="0" fontId="0" fillId="12" borderId="0" xfId="0" applyFill="1"/>
    <xf numFmtId="2" fontId="35" fillId="12" borderId="0" xfId="0" applyNumberFormat="1" applyFont="1" applyFill="1" applyAlignment="1">
      <alignment horizontal="right"/>
    </xf>
    <xf numFmtId="2" fontId="37" fillId="12" borderId="0" xfId="0" applyNumberFormat="1" applyFont="1" applyFill="1" applyAlignment="1">
      <alignment horizontal="right"/>
    </xf>
    <xf numFmtId="0" fontId="22" fillId="12" borderId="0" xfId="0" applyFont="1" applyFill="1"/>
    <xf numFmtId="0" fontId="24" fillId="11" borderId="0" xfId="0" applyFont="1" applyFill="1"/>
    <xf numFmtId="0" fontId="0" fillId="11" borderId="0" xfId="0" applyFill="1"/>
    <xf numFmtId="182" fontId="0" fillId="11" borderId="0" xfId="0" applyNumberFormat="1" applyFill="1"/>
    <xf numFmtId="182" fontId="1" fillId="11" borderId="0" xfId="0" applyNumberFormat="1" applyFont="1" applyFill="1"/>
    <xf numFmtId="182" fontId="1" fillId="11" borderId="5" xfId="0" applyNumberFormat="1" applyFont="1" applyFill="1" applyBorder="1"/>
    <xf numFmtId="169" fontId="0" fillId="11" borderId="0" xfId="0" applyNumberFormat="1" applyFill="1"/>
    <xf numFmtId="0" fontId="0" fillId="11" borderId="5" xfId="0" applyFill="1" applyBorder="1"/>
    <xf numFmtId="41" fontId="28" fillId="0" borderId="7" xfId="1" applyNumberFormat="1" applyFont="1" applyBorder="1"/>
    <xf numFmtId="41" fontId="28" fillId="6" borderId="7" xfId="1" applyNumberFormat="1" applyFont="1" applyFill="1" applyBorder="1"/>
    <xf numFmtId="180" fontId="0" fillId="0" borderId="0" xfId="0" applyNumberFormat="1"/>
    <xf numFmtId="10" fontId="0" fillId="0" borderId="0" xfId="2" applyNumberFormat="1" applyFont="1" applyBorder="1"/>
    <xf numFmtId="0" fontId="15" fillId="0" borderId="0" xfId="0" applyFont="1" applyAlignment="1">
      <alignment horizontal="left" indent="4"/>
    </xf>
    <xf numFmtId="0" fontId="1" fillId="0" borderId="2" xfId="0" applyFont="1" applyBorder="1"/>
    <xf numFmtId="10" fontId="22" fillId="0" borderId="0" xfId="2" applyNumberFormat="1" applyFont="1" applyBorder="1"/>
    <xf numFmtId="0" fontId="13" fillId="14" borderId="7" xfId="0" applyFont="1" applyFill="1" applyBorder="1" applyAlignment="1">
      <alignment horizontal="right"/>
    </xf>
    <xf numFmtId="0" fontId="13" fillId="14" borderId="0" xfId="0" applyFont="1" applyFill="1" applyAlignment="1">
      <alignment horizontal="right"/>
    </xf>
    <xf numFmtId="0" fontId="12" fillId="14" borderId="2" xfId="0" applyFont="1" applyFill="1" applyBorder="1"/>
    <xf numFmtId="10" fontId="0" fillId="15" borderId="11" xfId="2" applyNumberFormat="1" applyFont="1" applyFill="1" applyBorder="1"/>
    <xf numFmtId="10" fontId="0" fillId="13" borderId="9" xfId="0" applyNumberFormat="1" applyFill="1" applyBorder="1"/>
    <xf numFmtId="0" fontId="1" fillId="13" borderId="9" xfId="0" applyFont="1" applyFill="1" applyBorder="1"/>
    <xf numFmtId="0" fontId="15" fillId="16" borderId="0" xfId="0" applyFont="1" applyFill="1" applyAlignment="1">
      <alignment horizontal="left" indent="4"/>
    </xf>
    <xf numFmtId="10" fontId="15" fillId="16" borderId="0" xfId="2" applyNumberFormat="1" applyFont="1" applyFill="1"/>
    <xf numFmtId="166" fontId="15" fillId="16" borderId="0" xfId="2" applyNumberFormat="1" applyFont="1" applyFill="1"/>
    <xf numFmtId="10" fontId="40" fillId="16" borderId="0" xfId="2" applyNumberFormat="1" applyFont="1" applyFill="1"/>
    <xf numFmtId="9" fontId="40" fillId="16" borderId="0" xfId="1" applyNumberFormat="1" applyFont="1" applyFill="1"/>
    <xf numFmtId="166" fontId="22" fillId="6" borderId="0" xfId="0" applyNumberFormat="1" applyFont="1" applyFill="1"/>
    <xf numFmtId="10" fontId="1" fillId="0" borderId="0" xfId="0" applyNumberFormat="1" applyFont="1"/>
    <xf numFmtId="3" fontId="36" fillId="0" borderId="0" xfId="0" applyNumberFormat="1" applyFont="1"/>
    <xf numFmtId="3" fontId="1" fillId="0" borderId="0" xfId="0" applyNumberFormat="1" applyFont="1"/>
    <xf numFmtId="184" fontId="28" fillId="0" borderId="0" xfId="0" applyNumberFormat="1" applyFont="1" applyAlignment="1">
      <alignment horizontal="right"/>
    </xf>
    <xf numFmtId="44" fontId="22" fillId="0" borderId="0" xfId="1" applyFont="1"/>
    <xf numFmtId="178" fontId="22" fillId="0" borderId="0" xfId="1" applyNumberFormat="1" applyFont="1"/>
    <xf numFmtId="178" fontId="36" fillId="0" borderId="0" xfId="1" applyNumberFormat="1" applyFont="1"/>
    <xf numFmtId="178" fontId="22" fillId="0" borderId="7" xfId="1" applyNumberFormat="1" applyFont="1" applyBorder="1"/>
    <xf numFmtId="178" fontId="28" fillId="0" borderId="0" xfId="1" applyNumberFormat="1" applyFont="1"/>
    <xf numFmtId="185" fontId="22" fillId="0" borderId="0" xfId="1" applyNumberFormat="1" applyFont="1"/>
    <xf numFmtId="0" fontId="1" fillId="15" borderId="9" xfId="0" applyFont="1" applyFill="1" applyBorder="1"/>
    <xf numFmtId="6" fontId="0" fillId="0" borderId="0" xfId="0" applyNumberFormat="1"/>
    <xf numFmtId="0" fontId="0" fillId="0" borderId="0" xfId="0" applyAlignment="1">
      <alignment vertical="top" wrapText="1"/>
    </xf>
    <xf numFmtId="0" fontId="28" fillId="0" borderId="0" xfId="0" applyFont="1"/>
    <xf numFmtId="0" fontId="41" fillId="0" borderId="0" xfId="0" applyFont="1" applyAlignment="1">
      <alignment vertical="top" wrapText="1"/>
    </xf>
    <xf numFmtId="0" fontId="41" fillId="0" borderId="0" xfId="0" applyFont="1"/>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vertical="top"/>
    </xf>
    <xf numFmtId="0" fontId="0" fillId="0" borderId="8" xfId="0" applyBorder="1" applyAlignment="1">
      <alignment vertical="top" wrapText="1"/>
    </xf>
    <xf numFmtId="6" fontId="17" fillId="2" borderId="0" xfId="0" applyNumberFormat="1" applyFont="1" applyFill="1" applyAlignment="1">
      <alignment horizontal="right" wrapText="1"/>
    </xf>
    <xf numFmtId="6" fontId="17" fillId="0" borderId="0" xfId="0" applyNumberFormat="1" applyFont="1" applyAlignment="1">
      <alignment horizontal="right" wrapText="1"/>
    </xf>
    <xf numFmtId="10" fontId="42" fillId="2" borderId="0" xfId="0" applyNumberFormat="1" applyFont="1" applyFill="1" applyAlignment="1">
      <alignment horizontal="right" wrapText="1"/>
    </xf>
    <xf numFmtId="10" fontId="42" fillId="0" borderId="0" xfId="0" applyNumberFormat="1" applyFont="1" applyAlignment="1">
      <alignment horizontal="right" wrapText="1"/>
    </xf>
    <xf numFmtId="10" fontId="42" fillId="0" borderId="0" xfId="2" applyNumberFormat="1" applyFont="1" applyAlignment="1">
      <alignment wrapText="1"/>
    </xf>
    <xf numFmtId="166" fontId="24" fillId="0" borderId="0" xfId="2" applyNumberFormat="1" applyFont="1"/>
    <xf numFmtId="41" fontId="31" fillId="0" borderId="0" xfId="1" applyNumberFormat="1" applyFont="1"/>
    <xf numFmtId="10" fontId="32" fillId="16" borderId="0" xfId="2" applyNumberFormat="1" applyFont="1" applyFill="1"/>
    <xf numFmtId="41" fontId="31" fillId="0" borderId="0" xfId="0" applyNumberFormat="1" applyFont="1"/>
    <xf numFmtId="180" fontId="31" fillId="0" borderId="2" xfId="0" applyNumberFormat="1" applyFont="1" applyBorder="1"/>
    <xf numFmtId="10" fontId="31" fillId="0" borderId="0" xfId="2" applyNumberFormat="1" applyFont="1" applyBorder="1"/>
    <xf numFmtId="41" fontId="24" fillId="0" borderId="0" xfId="0" applyNumberFormat="1" applyFont="1"/>
    <xf numFmtId="37" fontId="35" fillId="0" borderId="0" xfId="7" applyNumberFormat="1" applyFont="1" applyAlignment="1">
      <alignment horizontal="right"/>
    </xf>
    <xf numFmtId="37" fontId="35" fillId="0" borderId="0" xfId="7" applyNumberFormat="1" applyFont="1" applyFill="1" applyAlignment="1">
      <alignment horizontal="right"/>
    </xf>
    <xf numFmtId="41" fontId="31" fillId="6" borderId="0" xfId="0" applyNumberFormat="1" applyFont="1" applyFill="1"/>
    <xf numFmtId="41" fontId="31" fillId="6" borderId="7" xfId="0" applyNumberFormat="1" applyFont="1" applyFill="1" applyBorder="1"/>
    <xf numFmtId="41" fontId="24" fillId="6" borderId="0" xfId="0" applyNumberFormat="1" applyFont="1" applyFill="1"/>
    <xf numFmtId="166" fontId="32" fillId="6" borderId="0" xfId="2" applyNumberFormat="1" applyFont="1" applyFill="1"/>
    <xf numFmtId="166" fontId="32" fillId="6" borderId="0" xfId="0" applyNumberFormat="1" applyFont="1" applyFill="1"/>
    <xf numFmtId="0" fontId="28" fillId="0" borderId="0" xfId="0" applyFont="1" applyAlignment="1">
      <alignment vertical="top" wrapText="1"/>
    </xf>
    <xf numFmtId="2" fontId="0" fillId="17" borderId="3" xfId="0" applyNumberFormat="1" applyFill="1" applyBorder="1"/>
    <xf numFmtId="2" fontId="0" fillId="17" borderId="5" xfId="0" applyNumberFormat="1" applyFill="1" applyBorder="1"/>
    <xf numFmtId="2" fontId="0" fillId="17" borderId="8" xfId="0" applyNumberFormat="1" applyFill="1" applyBorder="1"/>
    <xf numFmtId="0" fontId="1" fillId="17" borderId="1" xfId="0" applyFont="1" applyFill="1" applyBorder="1"/>
    <xf numFmtId="0" fontId="1" fillId="17" borderId="4" xfId="0" applyFont="1" applyFill="1" applyBorder="1"/>
    <xf numFmtId="0" fontId="1" fillId="17" borderId="6" xfId="0" applyFont="1" applyFill="1" applyBorder="1"/>
    <xf numFmtId="186" fontId="28" fillId="0" borderId="0" xfId="0" applyNumberFormat="1" applyFont="1" applyAlignment="1">
      <alignment horizontal="left" vertical="top" wrapText="1"/>
    </xf>
    <xf numFmtId="186" fontId="28" fillId="0" borderId="0" xfId="0" applyNumberFormat="1" applyFont="1" applyAlignment="1">
      <alignment horizontal="left"/>
    </xf>
    <xf numFmtId="44" fontId="28" fillId="0" borderId="0" xfId="0" applyNumberFormat="1" applyFont="1"/>
    <xf numFmtId="0" fontId="0" fillId="0" borderId="0" xfId="0" applyAlignment="1">
      <alignment horizontal="left" vertical="top" wrapText="1"/>
    </xf>
    <xf numFmtId="0" fontId="1" fillId="0" borderId="2" xfId="0" applyFont="1" applyBorder="1" applyAlignment="1">
      <alignment horizontal="center" wrapText="1"/>
    </xf>
    <xf numFmtId="0" fontId="1" fillId="12" borderId="0" xfId="0" applyFont="1" applyFill="1" applyAlignment="1">
      <alignment horizontal="center" wrapText="1"/>
    </xf>
  </cellXfs>
  <cellStyles count="8">
    <cellStyle name="Comma" xfId="7" builtinId="3"/>
    <cellStyle name="Comma 258" xfId="5" xr:uid="{811CD21A-2333-4B67-A4F2-11CC1737BAF3}"/>
    <cellStyle name="Currency" xfId="1" builtinId="4"/>
    <cellStyle name="Norm੎੎" xfId="4" xr:uid="{FC10C63E-99E2-4107-BD3F-89F81A7D810E}"/>
    <cellStyle name="Norm੎੎ 3" xfId="3" xr:uid="{CA3FE187-FDFB-460B-A475-8599C1B62E32}"/>
    <cellStyle name="Normal" xfId="0" builtinId="0"/>
    <cellStyle name="Normal_aaud" xfId="6" xr:uid="{C67E0FA8-E7E7-4CEE-B23A-728D6660E1B2}"/>
    <cellStyle name="Percent" xfId="2" builtinId="5"/>
  </cellStyles>
  <dxfs count="6">
    <dxf>
      <font>
        <color rgb="FF006100"/>
      </font>
      <fill>
        <patternFill>
          <bgColor rgb="FFC6EFCE"/>
        </patternFill>
      </fill>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indexed="64"/>
        </top>
      </border>
    </dxf>
    <dxf>
      <border outline="0">
        <bottom style="thin">
          <color indexed="64"/>
        </bottom>
      </border>
    </dxf>
    <dxf>
      <alignment horizontal="general" vertical="top" textRotation="0" wrapText="1" indent="0" justifyLastLine="0" shrinkToFit="0" readingOrder="0"/>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n-US" b="1"/>
              <a:t>Sum Daily Actuals</a:t>
            </a:r>
            <a:r>
              <a:rPr lang="en-US" b="1" baseline="0"/>
              <a:t> vs US GPV (quarterly)</a:t>
            </a:r>
            <a:r>
              <a:rPr lang="en-US" b="1"/>
              <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og"/>
            <c:dispRSqr val="0"/>
            <c:dispEq val="0"/>
          </c:trendline>
          <c:trendline>
            <c:spPr>
              <a:ln w="19050" cap="rnd">
                <a:solidFill>
                  <a:schemeClr val="accent4"/>
                </a:solidFill>
                <a:prstDash val="sysDot"/>
              </a:ln>
              <a:effectLst/>
            </c:spPr>
            <c:trendlineType val="poly"/>
            <c:order val="2"/>
            <c:dispRSqr val="1"/>
            <c:dispEq val="1"/>
            <c:trendlineLbl>
              <c:layout>
                <c:manualLayout>
                  <c:x val="0.13462452610090406"/>
                  <c:y val="0.180138888888888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trendline>
            <c:spPr>
              <a:ln w="19050" cap="rnd">
                <a:solidFill>
                  <a:schemeClr val="accent4"/>
                </a:solidFill>
                <a:prstDash val="sysDot"/>
              </a:ln>
              <a:effectLst/>
            </c:spPr>
            <c:trendlineType val="poly"/>
            <c:order val="3"/>
            <c:dispRSqr val="1"/>
            <c:dispEq val="1"/>
            <c:trendlineLbl>
              <c:layout>
                <c:manualLayout>
                  <c:x val="0.1196844266062073"/>
                  <c:y val="0.3468055555555555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'TSA Flight Data'!$U$4:$U$14</c:f>
              <c:numCache>
                <c:formatCode>0.00%</c:formatCode>
                <c:ptCount val="11"/>
                <c:pt idx="0">
                  <c:v>0.17239811351109124</c:v>
                </c:pt>
                <c:pt idx="1">
                  <c:v>0.33404322204095216</c:v>
                </c:pt>
                <c:pt idx="2">
                  <c:v>0.82118023116494698</c:v>
                </c:pt>
                <c:pt idx="3">
                  <c:v>1.2408262626173143</c:v>
                </c:pt>
                <c:pt idx="4">
                  <c:v>1.6708591888828779</c:v>
                </c:pt>
                <c:pt idx="5">
                  <c:v>4.716588495485591</c:v>
                </c:pt>
                <c:pt idx="6">
                  <c:v>-0.43296399850314471</c:v>
                </c:pt>
                <c:pt idx="7">
                  <c:v>-0.63210475538425315</c:v>
                </c:pt>
                <c:pt idx="8">
                  <c:v>-0.70944215951023304</c:v>
                </c:pt>
                <c:pt idx="9">
                  <c:v>-0.88222395679592414</c:v>
                </c:pt>
                <c:pt idx="10">
                  <c:v>-0.19201848995045334</c:v>
                </c:pt>
              </c:numCache>
            </c:numRef>
          </c:xVal>
          <c:yVal>
            <c:numRef>
              <c:f>'TSA Flight Data'!$X$4:$X$14</c:f>
              <c:numCache>
                <c:formatCode>0.00%</c:formatCode>
                <c:ptCount val="11"/>
                <c:pt idx="0">
                  <c:v>0.12072072072072082</c:v>
                </c:pt>
                <c:pt idx="1">
                  <c:v>0.12341197822141559</c:v>
                </c:pt>
                <c:pt idx="2">
                  <c:v>0.17573221757322166</c:v>
                </c:pt>
                <c:pt idx="3">
                  <c:v>0.25423728813559321</c:v>
                </c:pt>
                <c:pt idx="4">
                  <c:v>0.23059866962305997</c:v>
                </c:pt>
                <c:pt idx="5">
                  <c:v>0.36386138613861396</c:v>
                </c:pt>
                <c:pt idx="6">
                  <c:v>0.1408114558472553</c:v>
                </c:pt>
                <c:pt idx="7">
                  <c:v>5.1224944320712673E-2</c:v>
                </c:pt>
                <c:pt idx="8">
                  <c:v>3.9170506912442393E-2</c:v>
                </c:pt>
                <c:pt idx="9">
                  <c:v>-5.3864168618266928E-2</c:v>
                </c:pt>
                <c:pt idx="10">
                  <c:v>6.8877551020408267E-2</c:v>
                </c:pt>
              </c:numCache>
            </c:numRef>
          </c:yVal>
          <c:smooth val="0"/>
          <c:extLst>
            <c:ext xmlns:c16="http://schemas.microsoft.com/office/drawing/2014/chart" uri="{C3380CC4-5D6E-409C-BE32-E72D297353CC}">
              <c16:uniqueId val="{00000000-50BA-4300-A663-3433C27F27AF}"/>
            </c:ext>
          </c:extLst>
        </c:ser>
        <c:dLbls>
          <c:showLegendKey val="0"/>
          <c:showVal val="0"/>
          <c:showCatName val="0"/>
          <c:showSerName val="0"/>
          <c:showPercent val="0"/>
          <c:showBubbleSize val="0"/>
        </c:dLbls>
        <c:axId val="878960752"/>
        <c:axId val="581286056"/>
      </c:scatterChart>
      <c:valAx>
        <c:axId val="8789607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81286056"/>
        <c:crosses val="autoZero"/>
        <c:crossBetween val="midCat"/>
      </c:valAx>
      <c:valAx>
        <c:axId val="5812860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878960752"/>
        <c:crosses val="autoZero"/>
        <c:crossBetween val="midCat"/>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lgn="ctr">
              <a:defRPr sz="1400" b="1" i="0" u="none" strike="noStrike" kern="1200" spc="0" baseline="0">
                <a:solidFill>
                  <a:schemeClr val="dk1"/>
                </a:solidFill>
                <a:latin typeface="+mn-lt"/>
                <a:ea typeface="+mn-ea"/>
                <a:cs typeface="+mn-cs"/>
              </a:defRPr>
            </a:pPr>
            <a:r>
              <a:rPr lang="en-US" b="1"/>
              <a:t>Avg</a:t>
            </a:r>
            <a:r>
              <a:rPr lang="en-US" b="1" baseline="0"/>
              <a:t> Daily</a:t>
            </a:r>
            <a:r>
              <a:rPr lang="en-US" b="1"/>
              <a:t> YoY</a:t>
            </a:r>
            <a:r>
              <a:rPr lang="en-US" b="1" baseline="0"/>
              <a:t> Differentials vs US GPV (quarterly)</a:t>
            </a:r>
            <a:endParaRPr lang="en-US" b="1"/>
          </a:p>
        </c:rich>
      </c:tx>
      <c:layout>
        <c:manualLayout>
          <c:xMode val="edge"/>
          <c:yMode val="edge"/>
          <c:x val="0.18312554680664914"/>
          <c:y val="3.002661125692621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dk1"/>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og"/>
            <c:dispRSqr val="0"/>
            <c:dispEq val="0"/>
          </c:trendline>
          <c:trendline>
            <c:spPr>
              <a:ln w="19050" cap="rnd">
                <a:solidFill>
                  <a:schemeClr val="accent4"/>
                </a:solidFill>
                <a:prstDash val="sysDot"/>
              </a:ln>
              <a:effectLst/>
            </c:spPr>
            <c:trendlineType val="poly"/>
            <c:order val="2"/>
            <c:dispRSqr val="1"/>
            <c:dispEq val="1"/>
            <c:trendlineLbl>
              <c:layout>
                <c:manualLayout>
                  <c:x val="0.19497156605424321"/>
                  <c:y val="0.1107126713327501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trendline>
            <c:spPr>
              <a:ln w="19050" cap="rnd">
                <a:solidFill>
                  <a:schemeClr val="accent4"/>
                </a:solidFill>
                <a:prstDash val="sysDot"/>
              </a:ln>
              <a:effectLst/>
            </c:spPr>
            <c:trendlineType val="poly"/>
            <c:order val="3"/>
            <c:dispRSqr val="1"/>
            <c:dispEq val="1"/>
            <c:trendlineLbl>
              <c:layout>
                <c:manualLayout>
                  <c:x val="0.18423082531350249"/>
                  <c:y val="0.296753791192767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'TSA Flight Data'!$N$4:$N$14</c:f>
              <c:numCache>
                <c:formatCode>0.00%</c:formatCode>
                <c:ptCount val="11"/>
                <c:pt idx="0">
                  <c:v>0.18225811876707301</c:v>
                </c:pt>
                <c:pt idx="1">
                  <c:v>0.35915370629323756</c:v>
                </c:pt>
                <c:pt idx="2">
                  <c:v>0.88359387688732416</c:v>
                </c:pt>
                <c:pt idx="3">
                  <c:v>1.2821123747211711</c:v>
                </c:pt>
                <c:pt idx="4">
                  <c:v>1.7002026948728959</c:v>
                </c:pt>
                <c:pt idx="5">
                  <c:v>6.8522391004789815</c:v>
                </c:pt>
                <c:pt idx="6">
                  <c:v>0.42496204218345973</c:v>
                </c:pt>
                <c:pt idx="7">
                  <c:v>-0.63280804724384343</c:v>
                </c:pt>
                <c:pt idx="8">
                  <c:v>-0.70777259914241997</c:v>
                </c:pt>
                <c:pt idx="9">
                  <c:v>-0.88432364771161109</c:v>
                </c:pt>
                <c:pt idx="10">
                  <c:v>-0.16031360600880259</c:v>
                </c:pt>
              </c:numCache>
            </c:numRef>
          </c:xVal>
          <c:yVal>
            <c:numRef>
              <c:f>'TSA Flight Data'!$X$4:$X$14</c:f>
              <c:numCache>
                <c:formatCode>0.00%</c:formatCode>
                <c:ptCount val="11"/>
                <c:pt idx="0">
                  <c:v>0.12072072072072082</c:v>
                </c:pt>
                <c:pt idx="1">
                  <c:v>0.12341197822141559</c:v>
                </c:pt>
                <c:pt idx="2">
                  <c:v>0.17573221757322166</c:v>
                </c:pt>
                <c:pt idx="3">
                  <c:v>0.25423728813559321</c:v>
                </c:pt>
                <c:pt idx="4">
                  <c:v>0.23059866962305997</c:v>
                </c:pt>
                <c:pt idx="5">
                  <c:v>0.36386138613861396</c:v>
                </c:pt>
                <c:pt idx="6">
                  <c:v>0.1408114558472553</c:v>
                </c:pt>
                <c:pt idx="7">
                  <c:v>5.1224944320712673E-2</c:v>
                </c:pt>
                <c:pt idx="8">
                  <c:v>3.9170506912442393E-2</c:v>
                </c:pt>
                <c:pt idx="9">
                  <c:v>-5.3864168618266928E-2</c:v>
                </c:pt>
                <c:pt idx="10">
                  <c:v>6.8877551020408267E-2</c:v>
                </c:pt>
              </c:numCache>
            </c:numRef>
          </c:yVal>
          <c:smooth val="0"/>
          <c:extLst>
            <c:ext xmlns:c16="http://schemas.microsoft.com/office/drawing/2014/chart" uri="{C3380CC4-5D6E-409C-BE32-E72D297353CC}">
              <c16:uniqueId val="{00000000-FFCF-4D10-9B6A-E474B22813B3}"/>
            </c:ext>
          </c:extLst>
        </c:ser>
        <c:dLbls>
          <c:showLegendKey val="0"/>
          <c:showVal val="0"/>
          <c:showCatName val="0"/>
          <c:showSerName val="0"/>
          <c:showPercent val="0"/>
          <c:showBubbleSize val="0"/>
        </c:dLbls>
        <c:axId val="623634360"/>
        <c:axId val="623630424"/>
      </c:scatterChart>
      <c:valAx>
        <c:axId val="6236343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23630424"/>
        <c:crosses val="autoZero"/>
        <c:crossBetween val="midCat"/>
      </c:valAx>
      <c:valAx>
        <c:axId val="6236304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23634360"/>
        <c:crosses val="autoZero"/>
        <c:crossBetween val="midCat"/>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lgn="ctr">
              <a:defRPr sz="1400" b="1" i="0" u="none" strike="noStrike" kern="1200" spc="0" baseline="0">
                <a:solidFill>
                  <a:schemeClr val="dk1"/>
                </a:solidFill>
                <a:latin typeface="+mn-lt"/>
                <a:ea typeface="+mn-ea"/>
                <a:cs typeface="+mn-cs"/>
              </a:defRPr>
            </a:pPr>
            <a:r>
              <a:rPr lang="en-US" b="1"/>
              <a:t>Avg</a:t>
            </a:r>
            <a:r>
              <a:rPr lang="en-US" b="1" baseline="0"/>
              <a:t> Daily</a:t>
            </a:r>
            <a:r>
              <a:rPr lang="en-US" b="1"/>
              <a:t> YoY</a:t>
            </a:r>
            <a:r>
              <a:rPr lang="en-US" b="1" baseline="0"/>
              <a:t> Differentials vs US Transactions Processed (quarterly)</a:t>
            </a:r>
            <a:endParaRPr lang="en-US" b="1"/>
          </a:p>
        </c:rich>
      </c:tx>
      <c:layout>
        <c:manualLayout>
          <c:xMode val="edge"/>
          <c:yMode val="edge"/>
          <c:x val="0.18312554680664914"/>
          <c:y val="3.002661125692621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dk1"/>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og"/>
            <c:dispRSqr val="0"/>
            <c:dispEq val="0"/>
          </c:trendline>
          <c:trendline>
            <c:spPr>
              <a:ln w="19050" cap="rnd">
                <a:solidFill>
                  <a:schemeClr val="accent4"/>
                </a:solidFill>
                <a:prstDash val="sysDot"/>
              </a:ln>
              <a:effectLst/>
            </c:spPr>
            <c:trendlineType val="poly"/>
            <c:order val="2"/>
            <c:dispRSqr val="1"/>
            <c:dispEq val="1"/>
            <c:trendlineLbl>
              <c:layout>
                <c:manualLayout>
                  <c:x val="0.19497156605424321"/>
                  <c:y val="0.1107126713327501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trendline>
            <c:spPr>
              <a:ln w="19050" cap="rnd">
                <a:solidFill>
                  <a:schemeClr val="accent4"/>
                </a:solidFill>
                <a:prstDash val="sysDot"/>
              </a:ln>
              <a:effectLst/>
            </c:spPr>
            <c:trendlineType val="poly"/>
            <c:order val="3"/>
            <c:dispRSqr val="1"/>
            <c:dispEq val="1"/>
            <c:trendlineLbl>
              <c:layout>
                <c:manualLayout>
                  <c:x val="0.18423082531350249"/>
                  <c:y val="0.296753791192767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'TSA Flight Data'!$N$4:$N$14</c:f>
              <c:numCache>
                <c:formatCode>0.00%</c:formatCode>
                <c:ptCount val="11"/>
                <c:pt idx="0">
                  <c:v>0.18225811876707301</c:v>
                </c:pt>
                <c:pt idx="1">
                  <c:v>0.35915370629323756</c:v>
                </c:pt>
                <c:pt idx="2">
                  <c:v>0.88359387688732416</c:v>
                </c:pt>
                <c:pt idx="3">
                  <c:v>1.2821123747211711</c:v>
                </c:pt>
                <c:pt idx="4">
                  <c:v>1.7002026948728959</c:v>
                </c:pt>
                <c:pt idx="5">
                  <c:v>6.8522391004789815</c:v>
                </c:pt>
                <c:pt idx="6">
                  <c:v>0.42496204218345973</c:v>
                </c:pt>
                <c:pt idx="7">
                  <c:v>-0.63280804724384343</c:v>
                </c:pt>
                <c:pt idx="8">
                  <c:v>-0.70777259914241997</c:v>
                </c:pt>
                <c:pt idx="9">
                  <c:v>-0.88432364771161109</c:v>
                </c:pt>
                <c:pt idx="10">
                  <c:v>-0.16031360600880259</c:v>
                </c:pt>
              </c:numCache>
            </c:numRef>
          </c:xVal>
          <c:yVal>
            <c:numRef>
              <c:f>'TSA Flight Data'!$AD$4:$AD$14</c:f>
              <c:numCache>
                <c:formatCode>0.00%</c:formatCode>
                <c:ptCount val="11"/>
                <c:pt idx="0">
                  <c:v>5.5906121997121749E-2</c:v>
                </c:pt>
                <c:pt idx="1">
                  <c:v>6.3832199546485224E-2</c:v>
                </c:pt>
                <c:pt idx="2">
                  <c:v>9.9834878699352148E-2</c:v>
                </c:pt>
                <c:pt idx="3">
                  <c:v>0.16900350525788688</c:v>
                </c:pt>
                <c:pt idx="4">
                  <c:v>0.15260941686869978</c:v>
                </c:pt>
                <c:pt idx="5">
                  <c:v>0.27089337175792516</c:v>
                </c:pt>
                <c:pt idx="6">
                  <c:v>7.232361754290384E-2</c:v>
                </c:pt>
                <c:pt idx="7">
                  <c:v>1.1523363302520018E-2</c:v>
                </c:pt>
                <c:pt idx="8">
                  <c:v>1.1878631375080717E-2</c:v>
                </c:pt>
                <c:pt idx="9">
                  <c:v>-8.1767663403016666E-2</c:v>
                </c:pt>
                <c:pt idx="10">
                  <c:v>6.4984044096315641E-2</c:v>
                </c:pt>
              </c:numCache>
            </c:numRef>
          </c:yVal>
          <c:smooth val="0"/>
          <c:extLst>
            <c:ext xmlns:c16="http://schemas.microsoft.com/office/drawing/2014/chart" uri="{C3380CC4-5D6E-409C-BE32-E72D297353CC}">
              <c16:uniqueId val="{00000003-D193-4507-98EC-75C596B44D83}"/>
            </c:ext>
          </c:extLst>
        </c:ser>
        <c:dLbls>
          <c:showLegendKey val="0"/>
          <c:showVal val="0"/>
          <c:showCatName val="0"/>
          <c:showSerName val="0"/>
          <c:showPercent val="0"/>
          <c:showBubbleSize val="0"/>
        </c:dLbls>
        <c:axId val="623634360"/>
        <c:axId val="623630424"/>
      </c:scatterChart>
      <c:valAx>
        <c:axId val="6236343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23630424"/>
        <c:crosses val="autoZero"/>
        <c:crossBetween val="midCat"/>
      </c:valAx>
      <c:valAx>
        <c:axId val="6236304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23634360"/>
        <c:crosses val="autoZero"/>
        <c:crossBetween val="midCat"/>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n-US" b="1"/>
              <a:t>Sum Daily Actuals</a:t>
            </a:r>
            <a:r>
              <a:rPr lang="en-US" b="1" baseline="0"/>
              <a:t> vs US Transactions Processed (quarterly)</a:t>
            </a:r>
            <a:r>
              <a:rPr lang="en-US" b="1"/>
              <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og"/>
            <c:dispRSqr val="0"/>
            <c:dispEq val="0"/>
          </c:trendline>
          <c:trendline>
            <c:spPr>
              <a:ln w="19050" cap="rnd">
                <a:solidFill>
                  <a:schemeClr val="accent4"/>
                </a:solidFill>
                <a:prstDash val="sysDot"/>
              </a:ln>
              <a:effectLst/>
            </c:spPr>
            <c:trendlineType val="poly"/>
            <c:order val="2"/>
            <c:dispRSqr val="1"/>
            <c:dispEq val="1"/>
            <c:trendlineLbl>
              <c:layout>
                <c:manualLayout>
                  <c:x val="0.13462452610090406"/>
                  <c:y val="0.180138888888888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trendline>
            <c:spPr>
              <a:ln w="19050" cap="rnd">
                <a:solidFill>
                  <a:schemeClr val="accent4"/>
                </a:solidFill>
                <a:prstDash val="sysDot"/>
              </a:ln>
              <a:effectLst/>
            </c:spPr>
            <c:trendlineType val="poly"/>
            <c:order val="3"/>
            <c:dispRSqr val="1"/>
            <c:dispEq val="1"/>
            <c:trendlineLbl>
              <c:layout>
                <c:manualLayout>
                  <c:x val="0.1196844266062073"/>
                  <c:y val="0.3468055555555555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'TSA Flight Data'!$U$4:$U$14</c:f>
              <c:numCache>
                <c:formatCode>0.00%</c:formatCode>
                <c:ptCount val="11"/>
                <c:pt idx="0">
                  <c:v>0.17239811351109124</c:v>
                </c:pt>
                <c:pt idx="1">
                  <c:v>0.33404322204095216</c:v>
                </c:pt>
                <c:pt idx="2">
                  <c:v>0.82118023116494698</c:v>
                </c:pt>
                <c:pt idx="3">
                  <c:v>1.2408262626173143</c:v>
                </c:pt>
                <c:pt idx="4">
                  <c:v>1.6708591888828779</c:v>
                </c:pt>
                <c:pt idx="5">
                  <c:v>4.716588495485591</c:v>
                </c:pt>
                <c:pt idx="6">
                  <c:v>-0.43296399850314471</c:v>
                </c:pt>
                <c:pt idx="7">
                  <c:v>-0.63210475538425315</c:v>
                </c:pt>
                <c:pt idx="8">
                  <c:v>-0.70944215951023304</c:v>
                </c:pt>
                <c:pt idx="9">
                  <c:v>-0.88222395679592414</c:v>
                </c:pt>
                <c:pt idx="10">
                  <c:v>-0.19201848995045334</c:v>
                </c:pt>
              </c:numCache>
            </c:numRef>
          </c:xVal>
          <c:yVal>
            <c:numRef>
              <c:f>'TSA Flight Data'!$AD$4:$AD$14</c:f>
              <c:numCache>
                <c:formatCode>0.00%</c:formatCode>
                <c:ptCount val="11"/>
                <c:pt idx="0">
                  <c:v>5.5906121997121749E-2</c:v>
                </c:pt>
                <c:pt idx="1">
                  <c:v>6.3832199546485224E-2</c:v>
                </c:pt>
                <c:pt idx="2">
                  <c:v>9.9834878699352148E-2</c:v>
                </c:pt>
                <c:pt idx="3">
                  <c:v>0.16900350525788688</c:v>
                </c:pt>
                <c:pt idx="4">
                  <c:v>0.15260941686869978</c:v>
                </c:pt>
                <c:pt idx="5">
                  <c:v>0.27089337175792516</c:v>
                </c:pt>
                <c:pt idx="6">
                  <c:v>7.232361754290384E-2</c:v>
                </c:pt>
                <c:pt idx="7">
                  <c:v>1.1523363302520018E-2</c:v>
                </c:pt>
                <c:pt idx="8">
                  <c:v>1.1878631375080717E-2</c:v>
                </c:pt>
                <c:pt idx="9">
                  <c:v>-8.1767663403016666E-2</c:v>
                </c:pt>
                <c:pt idx="10">
                  <c:v>6.4984044096315641E-2</c:v>
                </c:pt>
              </c:numCache>
            </c:numRef>
          </c:yVal>
          <c:smooth val="0"/>
          <c:extLst>
            <c:ext xmlns:c16="http://schemas.microsoft.com/office/drawing/2014/chart" uri="{C3380CC4-5D6E-409C-BE32-E72D297353CC}">
              <c16:uniqueId val="{00000003-3E8A-441F-80E5-81FF242FAE43}"/>
            </c:ext>
          </c:extLst>
        </c:ser>
        <c:dLbls>
          <c:showLegendKey val="0"/>
          <c:showVal val="0"/>
          <c:showCatName val="0"/>
          <c:showSerName val="0"/>
          <c:showPercent val="0"/>
          <c:showBubbleSize val="0"/>
        </c:dLbls>
        <c:axId val="878960752"/>
        <c:axId val="581286056"/>
      </c:scatterChart>
      <c:valAx>
        <c:axId val="8789607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81286056"/>
        <c:crosses val="autoZero"/>
        <c:crossBetween val="midCat"/>
      </c:valAx>
      <c:valAx>
        <c:axId val="5812860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878960752"/>
        <c:crosses val="autoZero"/>
        <c:crossBetween val="midCat"/>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280821</xdr:colOff>
      <xdr:row>1</xdr:row>
      <xdr:rowOff>47625</xdr:rowOff>
    </xdr:from>
    <xdr:to>
      <xdr:col>3</xdr:col>
      <xdr:colOff>742949</xdr:colOff>
      <xdr:row>1</xdr:row>
      <xdr:rowOff>333374</xdr:rowOff>
    </xdr:to>
    <xdr:pic>
      <xdr:nvPicPr>
        <xdr:cNvPr id="2" name="Picture 1" descr="Mastercard - Wikipedia">
          <a:extLst>
            <a:ext uri="{FF2B5EF4-FFF2-40B4-BE49-F238E27FC236}">
              <a16:creationId xmlns:a16="http://schemas.microsoft.com/office/drawing/2014/main" id="{6E6708FF-DFC2-2F50-5F5E-0337CA723C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9621" y="238125"/>
          <a:ext cx="462128" cy="285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661986</xdr:colOff>
      <xdr:row>31</xdr:row>
      <xdr:rowOff>90485</xdr:rowOff>
    </xdr:from>
    <xdr:to>
      <xdr:col>15</xdr:col>
      <xdr:colOff>642936</xdr:colOff>
      <xdr:row>45</xdr:row>
      <xdr:rowOff>33335</xdr:rowOff>
    </xdr:to>
    <xdr:graphicFrame macro="">
      <xdr:nvGraphicFramePr>
        <xdr:cNvPr id="3" name="Chart 2">
          <a:extLst>
            <a:ext uri="{FF2B5EF4-FFF2-40B4-BE49-F238E27FC236}">
              <a16:creationId xmlns:a16="http://schemas.microsoft.com/office/drawing/2014/main" id="{241A7039-EA69-2F65-1D3D-7265556F41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15</xdr:row>
      <xdr:rowOff>28575</xdr:rowOff>
    </xdr:from>
    <xdr:to>
      <xdr:col>15</xdr:col>
      <xdr:colOff>695325</xdr:colOff>
      <xdr:row>28</xdr:row>
      <xdr:rowOff>171450</xdr:rowOff>
    </xdr:to>
    <xdr:graphicFrame macro="">
      <xdr:nvGraphicFramePr>
        <xdr:cNvPr id="4" name="Chart 3">
          <a:extLst>
            <a:ext uri="{FF2B5EF4-FFF2-40B4-BE49-F238E27FC236}">
              <a16:creationId xmlns:a16="http://schemas.microsoft.com/office/drawing/2014/main" id="{7876D6D8-A1DD-C7FA-875C-3870D7031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685800</xdr:colOff>
      <xdr:row>15</xdr:row>
      <xdr:rowOff>19050</xdr:rowOff>
    </xdr:from>
    <xdr:to>
      <xdr:col>23</xdr:col>
      <xdr:colOff>657225</xdr:colOff>
      <xdr:row>28</xdr:row>
      <xdr:rowOff>161925</xdr:rowOff>
    </xdr:to>
    <xdr:graphicFrame macro="">
      <xdr:nvGraphicFramePr>
        <xdr:cNvPr id="7" name="Chart 6">
          <a:extLst>
            <a:ext uri="{FF2B5EF4-FFF2-40B4-BE49-F238E27FC236}">
              <a16:creationId xmlns:a16="http://schemas.microsoft.com/office/drawing/2014/main" id="{181B7134-4CFB-40F8-8341-333D88E6B1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676275</xdr:colOff>
      <xdr:row>31</xdr:row>
      <xdr:rowOff>123825</xdr:rowOff>
    </xdr:from>
    <xdr:to>
      <xdr:col>23</xdr:col>
      <xdr:colOff>647700</xdr:colOff>
      <xdr:row>45</xdr:row>
      <xdr:rowOff>66675</xdr:rowOff>
    </xdr:to>
    <xdr:graphicFrame macro="">
      <xdr:nvGraphicFramePr>
        <xdr:cNvPr id="8" name="Chart 7">
          <a:extLst>
            <a:ext uri="{FF2B5EF4-FFF2-40B4-BE49-F238E27FC236}">
              <a16:creationId xmlns:a16="http://schemas.microsoft.com/office/drawing/2014/main" id="{94A0EDAA-44A8-4A4E-B4F5-60ED2A914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DEE98D-20FF-4020-A9C6-30352DEBEBFD}" name="Table1" displayName="Table1" ref="B18:G30" totalsRowShown="0" headerRowDxfId="5" headerRowBorderDxfId="4" tableBorderDxfId="3">
  <autoFilter ref="B18:G30" xr:uid="{D9DEE98D-20FF-4020-A9C6-30352DEBEBFD}"/>
  <tableColumns count="6">
    <tableColumn id="1" xr3:uid="{09D1AAC2-5015-4D52-80CF-8669440586C9}" name="Basic Comps" dataDxfId="2"/>
    <tableColumn id="2" xr3:uid="{D2090DC1-1514-4DA7-B57E-A6DD1F752189}" name="EV/EBITDA" dataDxfId="1"/>
    <tableColumn id="3" xr3:uid="{E492EF9E-CF66-447B-84AD-37BEBB8CAC5F}" name="EV/Revenue"/>
    <tableColumn id="4" xr3:uid="{D9949ADF-00B2-414F-AE37-8B9B3DF1A324}" name="EV/EBIT"/>
    <tableColumn id="6" xr3:uid="{29382CED-DDFB-492B-AE75-8BCC60C6EDCD}" name="P/E"/>
    <tableColumn id="5" xr3:uid="{D8F3DB62-EDA2-4614-95DC-1D06CFFAEBF3}" name="P/Sales (LTM)"/>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B771-7DBD-4EF1-88F6-2A5178C3474D}">
  <dimension ref="B2:AA45"/>
  <sheetViews>
    <sheetView showGridLines="0" tabSelected="1" workbookViewId="0">
      <selection activeCell="B7" sqref="B7:Y16"/>
    </sheetView>
  </sheetViews>
  <sheetFormatPr defaultColWidth="8.85546875" defaultRowHeight="15" x14ac:dyDescent="0.25"/>
  <cols>
    <col min="2" max="2" width="17" customWidth="1"/>
    <col min="3" max="3" width="12.5703125" customWidth="1"/>
    <col min="4" max="4" width="14.140625" customWidth="1"/>
    <col min="5" max="5" width="13.140625" customWidth="1"/>
    <col min="6" max="6" width="12" customWidth="1"/>
    <col min="7" max="7" width="14" customWidth="1"/>
    <col min="8" max="8" width="11.85546875" customWidth="1"/>
  </cols>
  <sheetData>
    <row r="2" spans="2:26" ht="28.5" x14ac:dyDescent="0.45">
      <c r="B2" s="1" t="s">
        <v>0</v>
      </c>
    </row>
    <row r="3" spans="2:26" x14ac:dyDescent="0.25">
      <c r="B3" t="s">
        <v>1</v>
      </c>
    </row>
    <row r="5" spans="2:26" x14ac:dyDescent="0.25">
      <c r="B5" s="363" t="s">
        <v>406</v>
      </c>
      <c r="C5" s="398">
        <f>DCF!D49</f>
        <v>331.26328291060707</v>
      </c>
      <c r="E5" t="s">
        <v>387</v>
      </c>
    </row>
    <row r="7" spans="2:26" ht="15" customHeight="1" x14ac:dyDescent="0.25">
      <c r="B7" s="399" t="s">
        <v>407</v>
      </c>
      <c r="C7" s="399"/>
      <c r="D7" s="399"/>
      <c r="E7" s="399"/>
      <c r="F7" s="399"/>
      <c r="G7" s="399"/>
      <c r="H7" s="399"/>
      <c r="I7" s="399"/>
      <c r="J7" s="399"/>
      <c r="K7" s="399"/>
      <c r="L7" s="399"/>
      <c r="M7" s="399"/>
      <c r="N7" s="399"/>
      <c r="O7" s="399"/>
      <c r="P7" s="399"/>
      <c r="Q7" s="399"/>
      <c r="R7" s="399"/>
      <c r="S7" s="399"/>
      <c r="T7" s="399"/>
      <c r="U7" s="399"/>
      <c r="V7" s="399"/>
      <c r="W7" s="399"/>
      <c r="X7" s="399"/>
      <c r="Y7" s="399"/>
      <c r="Z7" s="362"/>
    </row>
    <row r="8" spans="2:26" x14ac:dyDescent="0.25">
      <c r="B8" s="399"/>
      <c r="C8" s="399"/>
      <c r="D8" s="399"/>
      <c r="E8" s="399"/>
      <c r="F8" s="399"/>
      <c r="G8" s="399"/>
      <c r="H8" s="399"/>
      <c r="I8" s="399"/>
      <c r="J8" s="399"/>
      <c r="K8" s="399"/>
      <c r="L8" s="399"/>
      <c r="M8" s="399"/>
      <c r="N8" s="399"/>
      <c r="O8" s="399"/>
      <c r="P8" s="399"/>
      <c r="Q8" s="399"/>
      <c r="R8" s="399"/>
      <c r="S8" s="399"/>
      <c r="T8" s="399"/>
      <c r="U8" s="399"/>
      <c r="V8" s="399"/>
      <c r="W8" s="399"/>
      <c r="X8" s="399"/>
      <c r="Y8" s="399"/>
      <c r="Z8" s="362"/>
    </row>
    <row r="9" spans="2:26" x14ac:dyDescent="0.25">
      <c r="B9" s="399"/>
      <c r="C9" s="399"/>
      <c r="D9" s="399"/>
      <c r="E9" s="399"/>
      <c r="F9" s="399"/>
      <c r="G9" s="399"/>
      <c r="H9" s="399"/>
      <c r="I9" s="399"/>
      <c r="J9" s="399"/>
      <c r="K9" s="399"/>
      <c r="L9" s="399"/>
      <c r="M9" s="399"/>
      <c r="N9" s="399"/>
      <c r="O9" s="399"/>
      <c r="P9" s="399"/>
      <c r="Q9" s="399"/>
      <c r="R9" s="399"/>
      <c r="S9" s="399"/>
      <c r="T9" s="399"/>
      <c r="U9" s="399"/>
      <c r="V9" s="399"/>
      <c r="W9" s="399"/>
      <c r="X9" s="399"/>
      <c r="Y9" s="399"/>
      <c r="Z9" s="362"/>
    </row>
    <row r="10" spans="2:26" x14ac:dyDescent="0.25">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62"/>
    </row>
    <row r="11" spans="2:26" x14ac:dyDescent="0.25">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62"/>
    </row>
    <row r="12" spans="2:26" x14ac:dyDescent="0.25">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62"/>
    </row>
    <row r="13" spans="2:26" x14ac:dyDescent="0.25">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62"/>
    </row>
    <row r="14" spans="2:26" x14ac:dyDescent="0.25">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62"/>
    </row>
    <row r="15" spans="2:26" x14ac:dyDescent="0.25">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62"/>
    </row>
    <row r="16" spans="2:26" x14ac:dyDescent="0.25">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62"/>
    </row>
    <row r="17" spans="2:27" x14ac:dyDescent="0.25">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row>
    <row r="18" spans="2:27" ht="19.5" customHeight="1" x14ac:dyDescent="0.25">
      <c r="B18" s="366" t="s">
        <v>386</v>
      </c>
      <c r="C18" s="367" t="s">
        <v>341</v>
      </c>
      <c r="D18" s="368" t="s">
        <v>364</v>
      </c>
      <c r="E18" s="368" t="s">
        <v>374</v>
      </c>
      <c r="F18" s="368" t="s">
        <v>392</v>
      </c>
      <c r="G18" s="369" t="s">
        <v>396</v>
      </c>
      <c r="H18" s="362"/>
      <c r="I18" s="362"/>
      <c r="J18" s="362"/>
      <c r="K18" s="362"/>
      <c r="L18" s="362"/>
      <c r="M18" s="362"/>
      <c r="N18" s="362"/>
      <c r="O18" s="362"/>
      <c r="P18" s="362"/>
      <c r="Q18" s="362"/>
      <c r="R18" s="362"/>
      <c r="S18" s="362"/>
      <c r="T18" s="362"/>
      <c r="U18" s="362"/>
      <c r="V18" s="362"/>
      <c r="W18" s="362"/>
      <c r="X18" s="362"/>
      <c r="Y18" s="362"/>
      <c r="Z18" s="362"/>
      <c r="AA18" s="362"/>
    </row>
    <row r="19" spans="2:27" ht="15" customHeight="1" x14ac:dyDescent="0.25">
      <c r="B19" s="362" t="s">
        <v>333</v>
      </c>
      <c r="C19" s="362" t="s">
        <v>342</v>
      </c>
      <c r="D19" t="s">
        <v>354</v>
      </c>
      <c r="E19" t="s">
        <v>377</v>
      </c>
      <c r="F19" t="s">
        <v>398</v>
      </c>
      <c r="G19" s="362" t="s">
        <v>353</v>
      </c>
      <c r="H19" s="362"/>
      <c r="I19" s="362"/>
      <c r="J19" s="362"/>
      <c r="K19" s="362"/>
      <c r="L19" s="362"/>
      <c r="M19" s="362"/>
      <c r="N19" s="362"/>
      <c r="O19" s="362"/>
      <c r="P19" s="362"/>
      <c r="Q19" s="362"/>
      <c r="R19" s="362"/>
      <c r="S19" s="362"/>
      <c r="T19" s="362"/>
      <c r="U19" s="362"/>
      <c r="V19" s="362"/>
      <c r="W19" s="362"/>
      <c r="X19" s="362"/>
      <c r="Y19" s="362"/>
      <c r="Z19" s="362"/>
      <c r="AA19" s="362"/>
    </row>
    <row r="20" spans="2:27" x14ac:dyDescent="0.25">
      <c r="B20" s="362" t="s">
        <v>334</v>
      </c>
      <c r="C20" s="362" t="s">
        <v>343</v>
      </c>
      <c r="D20" t="s">
        <v>367</v>
      </c>
      <c r="E20" t="s">
        <v>378</v>
      </c>
      <c r="F20" t="s">
        <v>397</v>
      </c>
      <c r="G20" s="362" t="s">
        <v>355</v>
      </c>
      <c r="H20" s="362"/>
      <c r="I20" s="362"/>
      <c r="J20" s="362"/>
      <c r="K20" s="362"/>
      <c r="L20" s="362"/>
      <c r="M20" s="362"/>
      <c r="N20" s="362"/>
      <c r="O20" s="362"/>
      <c r="P20" s="362"/>
      <c r="Q20" s="362"/>
      <c r="R20" s="362"/>
      <c r="S20" s="362"/>
      <c r="T20" s="362"/>
      <c r="U20" s="362"/>
      <c r="V20" s="362"/>
      <c r="W20" s="362"/>
      <c r="X20" s="362"/>
      <c r="Y20" s="362"/>
      <c r="Z20" s="362"/>
      <c r="AA20" s="362"/>
    </row>
    <row r="21" spans="2:27" x14ac:dyDescent="0.25">
      <c r="B21" s="362" t="s">
        <v>330</v>
      </c>
      <c r="C21" s="362" t="s">
        <v>344</v>
      </c>
      <c r="D21" t="s">
        <v>366</v>
      </c>
      <c r="E21" t="s">
        <v>376</v>
      </c>
      <c r="F21" t="s">
        <v>404</v>
      </c>
      <c r="G21" s="362" t="s">
        <v>362</v>
      </c>
      <c r="H21" s="362"/>
      <c r="I21" s="362"/>
      <c r="J21" s="362"/>
      <c r="K21" s="362"/>
      <c r="L21" s="362"/>
      <c r="M21" s="362"/>
      <c r="N21" s="362"/>
      <c r="O21" s="362"/>
      <c r="P21" s="362"/>
      <c r="Q21" s="362"/>
      <c r="R21" s="362"/>
      <c r="S21" s="362"/>
      <c r="T21" s="362"/>
      <c r="U21" s="362"/>
      <c r="V21" s="362"/>
      <c r="W21" s="362"/>
      <c r="X21" s="362"/>
      <c r="Y21" s="362"/>
      <c r="Z21" s="362"/>
      <c r="AA21" s="362"/>
    </row>
    <row r="22" spans="2:27" x14ac:dyDescent="0.25">
      <c r="B22" s="362" t="s">
        <v>331</v>
      </c>
      <c r="C22" s="362" t="s">
        <v>345</v>
      </c>
      <c r="D22" t="s">
        <v>361</v>
      </c>
      <c r="E22" t="s">
        <v>385</v>
      </c>
      <c r="F22" t="s">
        <v>375</v>
      </c>
      <c r="G22" s="362" t="s">
        <v>361</v>
      </c>
      <c r="H22" s="362"/>
      <c r="I22" s="362"/>
      <c r="J22" s="362"/>
      <c r="K22" s="362"/>
      <c r="L22" s="362"/>
      <c r="M22" s="362"/>
      <c r="N22" s="362"/>
      <c r="O22" s="362"/>
      <c r="P22" s="362"/>
      <c r="Q22" s="362"/>
      <c r="R22" s="362"/>
      <c r="S22" s="362"/>
      <c r="T22" s="362"/>
      <c r="U22" s="362"/>
      <c r="V22" s="362"/>
      <c r="W22" s="362"/>
      <c r="X22" s="362"/>
      <c r="Y22" s="362"/>
      <c r="Z22" s="362"/>
      <c r="AA22" s="362"/>
    </row>
    <row r="23" spans="2:27" x14ac:dyDescent="0.25">
      <c r="B23" s="362" t="s">
        <v>332</v>
      </c>
      <c r="C23" s="362" t="s">
        <v>346</v>
      </c>
      <c r="D23" t="s">
        <v>373</v>
      </c>
      <c r="E23" t="s">
        <v>375</v>
      </c>
      <c r="F23" t="s">
        <v>405</v>
      </c>
      <c r="G23" s="362" t="s">
        <v>360</v>
      </c>
    </row>
    <row r="24" spans="2:27" x14ac:dyDescent="0.25">
      <c r="B24" s="362" t="s">
        <v>335</v>
      </c>
      <c r="C24" s="362" t="s">
        <v>347</v>
      </c>
      <c r="D24" t="s">
        <v>368</v>
      </c>
      <c r="E24" t="s">
        <v>384</v>
      </c>
      <c r="F24" t="s">
        <v>401</v>
      </c>
      <c r="G24" t="s">
        <v>357</v>
      </c>
    </row>
    <row r="25" spans="2:27" x14ac:dyDescent="0.25">
      <c r="B25" s="362" t="s">
        <v>336</v>
      </c>
      <c r="C25" s="362" t="s">
        <v>348</v>
      </c>
      <c r="D25" t="s">
        <v>370</v>
      </c>
      <c r="E25" t="s">
        <v>380</v>
      </c>
      <c r="F25" t="s">
        <v>402</v>
      </c>
      <c r="G25" t="s">
        <v>358</v>
      </c>
    </row>
    <row r="26" spans="2:27" x14ac:dyDescent="0.25">
      <c r="B26" s="362" t="s">
        <v>337</v>
      </c>
      <c r="C26" s="362" t="s">
        <v>349</v>
      </c>
      <c r="D26" t="s">
        <v>371</v>
      </c>
      <c r="E26" t="s">
        <v>383</v>
      </c>
      <c r="F26" t="s">
        <v>403</v>
      </c>
      <c r="G26" t="s">
        <v>359</v>
      </c>
    </row>
    <row r="27" spans="2:27" x14ac:dyDescent="0.25">
      <c r="B27" s="362" t="s">
        <v>338</v>
      </c>
      <c r="C27" s="362" t="s">
        <v>350</v>
      </c>
      <c r="D27" t="s">
        <v>365</v>
      </c>
      <c r="E27" t="s">
        <v>379</v>
      </c>
      <c r="F27" t="s">
        <v>399</v>
      </c>
      <c r="G27" t="s">
        <v>356</v>
      </c>
    </row>
    <row r="28" spans="2:27" x14ac:dyDescent="0.25">
      <c r="B28" s="362" t="s">
        <v>339</v>
      </c>
      <c r="C28" s="362" t="s">
        <v>351</v>
      </c>
      <c r="D28" t="s">
        <v>369</v>
      </c>
      <c r="E28" t="s">
        <v>381</v>
      </c>
      <c r="F28" t="s">
        <v>352</v>
      </c>
      <c r="G28" t="s">
        <v>395</v>
      </c>
    </row>
    <row r="29" spans="2:27" x14ac:dyDescent="0.25">
      <c r="B29" s="364" t="s">
        <v>340</v>
      </c>
      <c r="C29" s="364" t="s">
        <v>352</v>
      </c>
      <c r="D29" s="365" t="s">
        <v>372</v>
      </c>
      <c r="E29" s="365" t="s">
        <v>382</v>
      </c>
      <c r="F29" s="365" t="s">
        <v>400</v>
      </c>
      <c r="G29" s="365" t="s">
        <v>369</v>
      </c>
    </row>
    <row r="30" spans="2:27" x14ac:dyDescent="0.25">
      <c r="B30" s="389" t="s">
        <v>391</v>
      </c>
      <c r="C30" s="396">
        <f>DCF!G42</f>
        <v>21.618968097121243</v>
      </c>
      <c r="D30" s="397">
        <f>DCF!G43</f>
        <v>12.936470991383171</v>
      </c>
      <c r="E30" s="396" t="s">
        <v>2</v>
      </c>
      <c r="F30" s="397">
        <f>DCF!D50</f>
        <v>29.52423884708293</v>
      </c>
      <c r="G30" s="396" t="s">
        <v>2</v>
      </c>
    </row>
    <row r="34" spans="2:11" x14ac:dyDescent="0.25">
      <c r="B34" s="74" t="s">
        <v>106</v>
      </c>
    </row>
    <row r="35" spans="2:11" x14ac:dyDescent="0.25">
      <c r="B35" t="s">
        <v>96</v>
      </c>
      <c r="F35" t="s">
        <v>97</v>
      </c>
      <c r="K35" t="s">
        <v>127</v>
      </c>
    </row>
    <row r="36" spans="2:11" x14ac:dyDescent="0.25">
      <c r="B36" t="s">
        <v>95</v>
      </c>
    </row>
    <row r="37" spans="2:11" x14ac:dyDescent="0.25">
      <c r="B37" t="s">
        <v>98</v>
      </c>
    </row>
    <row r="38" spans="2:11" x14ac:dyDescent="0.25">
      <c r="B38" t="s">
        <v>99</v>
      </c>
      <c r="F38" t="s">
        <v>100</v>
      </c>
      <c r="H38" t="s">
        <v>101</v>
      </c>
    </row>
    <row r="39" spans="2:11" x14ac:dyDescent="0.25">
      <c r="B39" s="34" t="s">
        <v>102</v>
      </c>
    </row>
    <row r="40" spans="2:11" x14ac:dyDescent="0.25">
      <c r="B40" t="s">
        <v>107</v>
      </c>
    </row>
    <row r="41" spans="2:11" x14ac:dyDescent="0.25">
      <c r="B41" t="s">
        <v>103</v>
      </c>
    </row>
    <row r="42" spans="2:11" x14ac:dyDescent="0.25">
      <c r="B42" t="s">
        <v>104</v>
      </c>
    </row>
    <row r="43" spans="2:11" x14ac:dyDescent="0.25">
      <c r="B43" t="s">
        <v>105</v>
      </c>
    </row>
    <row r="45" spans="2:11" x14ac:dyDescent="0.25">
      <c r="B45" s="47" t="s">
        <v>92</v>
      </c>
      <c r="C45" s="47"/>
      <c r="D45" s="47"/>
      <c r="E45" s="47"/>
      <c r="F45" s="47"/>
    </row>
  </sheetData>
  <mergeCells count="1">
    <mergeCell ref="B7:Y16"/>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E365-0E2A-4C05-AE35-AAFD5E2EE196}">
  <dimension ref="A1:AO99"/>
  <sheetViews>
    <sheetView showGridLines="0" zoomScaleNormal="100" workbookViewId="0">
      <pane xSplit="1" topLeftCell="T1" activePane="topRight" state="frozen"/>
      <selection pane="topRight" activeCell="AF13" sqref="AF13"/>
    </sheetView>
  </sheetViews>
  <sheetFormatPr defaultColWidth="8.85546875" defaultRowHeight="15" x14ac:dyDescent="0.25"/>
  <cols>
    <col min="1" max="1" width="46.28515625" customWidth="1"/>
    <col min="3" max="3" width="11.42578125" bestFit="1" customWidth="1"/>
    <col min="8" max="8" width="11.7109375" bestFit="1" customWidth="1"/>
    <col min="9" max="11" width="10.28515625" bestFit="1" customWidth="1"/>
    <col min="13" max="16" width="10.28515625" bestFit="1" customWidth="1"/>
    <col min="18" max="20" width="10.28515625" bestFit="1" customWidth="1"/>
    <col min="21" max="21" width="11.7109375" bestFit="1" customWidth="1"/>
    <col min="23" max="23" width="11.7109375" bestFit="1" customWidth="1"/>
    <col min="24" max="26" width="10.28515625" bestFit="1" customWidth="1"/>
    <col min="28" max="30" width="10.28515625" bestFit="1" customWidth="1"/>
    <col min="31" max="31" width="9.7109375" bestFit="1" customWidth="1"/>
    <col min="33" max="36" width="9.7109375" bestFit="1" customWidth="1"/>
    <col min="39" max="39" width="9.140625" customWidth="1"/>
  </cols>
  <sheetData>
    <row r="1" spans="1:41" s="28" customFormat="1" x14ac:dyDescent="0.25">
      <c r="C1" s="29" t="s">
        <v>3</v>
      </c>
      <c r="D1" s="29" t="s">
        <v>4</v>
      </c>
      <c r="E1" s="29" t="s">
        <v>5</v>
      </c>
      <c r="F1" s="29" t="s">
        <v>6</v>
      </c>
      <c r="G1" s="29"/>
      <c r="H1" s="29" t="s">
        <v>7</v>
      </c>
      <c r="I1" s="29" t="s">
        <v>8</v>
      </c>
      <c r="J1" s="29" t="s">
        <v>9</v>
      </c>
      <c r="K1" s="29" t="s">
        <v>10</v>
      </c>
      <c r="L1" s="29"/>
      <c r="M1" s="29" t="s">
        <v>11</v>
      </c>
      <c r="N1" s="29" t="s">
        <v>12</v>
      </c>
      <c r="O1" s="29" t="s">
        <v>13</v>
      </c>
      <c r="P1" s="29" t="s">
        <v>14</v>
      </c>
      <c r="Q1" s="29"/>
      <c r="R1" s="29" t="s">
        <v>15</v>
      </c>
      <c r="S1" s="29" t="s">
        <v>16</v>
      </c>
      <c r="T1" s="29" t="s">
        <v>17</v>
      </c>
      <c r="U1" s="29" t="s">
        <v>18</v>
      </c>
      <c r="V1" s="29"/>
      <c r="W1" s="29" t="s">
        <v>19</v>
      </c>
      <c r="X1" s="29" t="s">
        <v>20</v>
      </c>
      <c r="Y1" s="29" t="s">
        <v>21</v>
      </c>
      <c r="Z1" s="29" t="s">
        <v>46</v>
      </c>
      <c r="AA1" s="29"/>
      <c r="AB1" s="29" t="s">
        <v>47</v>
      </c>
      <c r="AC1" s="29" t="s">
        <v>48</v>
      </c>
      <c r="AD1" s="29" t="s">
        <v>49</v>
      </c>
      <c r="AE1" s="29" t="s">
        <v>389</v>
      </c>
      <c r="AG1" s="29" t="s">
        <v>143</v>
      </c>
      <c r="AH1" s="29" t="s">
        <v>144</v>
      </c>
      <c r="AI1" s="29" t="s">
        <v>145</v>
      </c>
      <c r="AJ1" s="29" t="s">
        <v>146</v>
      </c>
      <c r="AM1" s="28" t="s">
        <v>130</v>
      </c>
    </row>
    <row r="2" spans="1:41" s="31" customFormat="1" x14ac:dyDescent="0.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41" x14ac:dyDescent="0.25">
      <c r="A3" s="30" t="s">
        <v>51</v>
      </c>
      <c r="C3" s="4"/>
      <c r="D3" s="4"/>
      <c r="E3" s="4"/>
      <c r="F3" s="4"/>
      <c r="G3" s="4"/>
      <c r="H3" s="4"/>
      <c r="I3" s="4"/>
      <c r="J3" s="4"/>
      <c r="K3" s="4"/>
      <c r="L3" s="4"/>
      <c r="M3" s="4"/>
      <c r="N3" s="4"/>
      <c r="O3" s="4"/>
      <c r="P3" s="4"/>
      <c r="Q3" s="4"/>
      <c r="R3" s="4"/>
      <c r="S3" s="4"/>
      <c r="T3" s="4"/>
      <c r="U3" s="4"/>
      <c r="V3" s="4"/>
      <c r="W3" s="4"/>
      <c r="X3" s="4"/>
      <c r="Y3" s="4"/>
      <c r="AM3" t="s">
        <v>133</v>
      </c>
    </row>
    <row r="4" spans="1:41" x14ac:dyDescent="0.25">
      <c r="A4" s="22" t="s">
        <v>22</v>
      </c>
      <c r="C4" s="45">
        <v>1189</v>
      </c>
      <c r="D4" s="45">
        <v>1260</v>
      </c>
      <c r="E4" s="45">
        <v>1302</v>
      </c>
      <c r="F4" s="45">
        <v>1379</v>
      </c>
      <c r="G4" s="45"/>
      <c r="H4" s="46">
        <v>1458</v>
      </c>
      <c r="I4" s="46">
        <v>1537</v>
      </c>
      <c r="J4" s="46">
        <v>1564</v>
      </c>
      <c r="K4" s="45">
        <v>1579</v>
      </c>
      <c r="L4" s="46"/>
      <c r="M4" s="46">
        <v>1605</v>
      </c>
      <c r="N4" s="45">
        <v>1680</v>
      </c>
      <c r="O4" s="45">
        <v>1722</v>
      </c>
      <c r="P4" s="45">
        <f>6781-SUM(M4:O4)</f>
        <v>1774</v>
      </c>
      <c r="Q4" s="46"/>
      <c r="R4" s="46">
        <v>1683</v>
      </c>
      <c r="S4" s="45">
        <v>1474</v>
      </c>
      <c r="T4" s="45">
        <v>1750</v>
      </c>
      <c r="U4" s="45">
        <v>1749</v>
      </c>
      <c r="V4" s="53">
        <f>SUM(R4:U4)</f>
        <v>6656</v>
      </c>
      <c r="W4" s="46">
        <v>1798</v>
      </c>
      <c r="X4" s="45">
        <v>2056</v>
      </c>
      <c r="Y4" s="45">
        <v>2139</v>
      </c>
      <c r="Z4" s="45">
        <v>2165</v>
      </c>
      <c r="AA4" s="53">
        <f>SUM(W4:Z4)</f>
        <v>8158</v>
      </c>
      <c r="AB4" s="48">
        <v>2135</v>
      </c>
      <c r="AC4" s="48">
        <v>2283</v>
      </c>
      <c r="AD4" s="45">
        <v>2252</v>
      </c>
      <c r="AE4" s="45">
        <v>2251</v>
      </c>
      <c r="AF4" s="53">
        <f>SUM(AB4:AE4)</f>
        <v>8921</v>
      </c>
      <c r="AG4" s="54">
        <f>AB4*(1+AG8)*(1+AG11)</f>
        <v>2228.5510046844183</v>
      </c>
      <c r="AH4" s="54">
        <f t="shared" ref="AH4:AJ4" si="0">AC4*(1+AH8)*(1+AH11)</f>
        <v>2341.9342906779661</v>
      </c>
      <c r="AI4" s="54">
        <f t="shared" si="0"/>
        <v>2355.5829596165372</v>
      </c>
      <c r="AJ4" s="54">
        <f t="shared" si="0"/>
        <v>2408.4284191425263</v>
      </c>
      <c r="AK4" s="53">
        <f>SUM(AG4:AJ4)</f>
        <v>9334.4966741214485</v>
      </c>
    </row>
    <row r="5" spans="1:41" x14ac:dyDescent="0.25">
      <c r="A5" s="23" t="s">
        <v>23</v>
      </c>
      <c r="C5" s="7">
        <v>0.158</v>
      </c>
      <c r="D5" s="7">
        <v>0.13500000000000001</v>
      </c>
      <c r="E5" s="7">
        <v>0.15</v>
      </c>
      <c r="F5" s="7">
        <v>0.20799999999999999</v>
      </c>
      <c r="G5" s="6"/>
      <c r="H5" s="7">
        <f>H4/C4-1</f>
        <v>0.22624053826745172</v>
      </c>
      <c r="I5" s="7">
        <f t="shared" ref="I5:K5" si="1">I4/D4-1</f>
        <v>0.21984126984126995</v>
      </c>
      <c r="J5" s="7">
        <f t="shared" si="1"/>
        <v>0.20122887864823347</v>
      </c>
      <c r="K5" s="7">
        <f t="shared" si="1"/>
        <v>0.14503263234227703</v>
      </c>
      <c r="L5" s="6"/>
      <c r="M5" s="7">
        <f>M4/H4-1</f>
        <v>0.10082304526748964</v>
      </c>
      <c r="N5" s="7">
        <f t="shared" ref="N5" si="2">N4/I4-1</f>
        <v>9.3038386467143797E-2</v>
      </c>
      <c r="O5" s="7">
        <f t="shared" ref="O5" si="3">O4/J4-1</f>
        <v>0.10102301790281332</v>
      </c>
      <c r="P5" s="7">
        <f t="shared" ref="P5" si="4">P4/K4-1</f>
        <v>0.12349588347055107</v>
      </c>
      <c r="Q5" s="6"/>
      <c r="R5" s="7">
        <f>R4/M4-1</f>
        <v>4.8598130841121412E-2</v>
      </c>
      <c r="S5" s="7">
        <f t="shared" ref="S5" si="5">S4/N4-1</f>
        <v>-0.12261904761904763</v>
      </c>
      <c r="T5" s="7">
        <f t="shared" ref="T5" si="6">T4/O4-1</f>
        <v>1.6260162601626105E-2</v>
      </c>
      <c r="U5" s="7">
        <f t="shared" ref="U5" si="7">U4/P4-1</f>
        <v>-1.4092446448703444E-2</v>
      </c>
      <c r="V5" s="6"/>
      <c r="W5" s="7">
        <f>W4/R4-1</f>
        <v>6.8330362448009607E-2</v>
      </c>
      <c r="X5" s="7">
        <f t="shared" ref="X5" si="8">X4/S4-1</f>
        <v>0.3948439620081412</v>
      </c>
      <c r="Y5" s="7">
        <f t="shared" ref="Y5" si="9">Y4/T4-1</f>
        <v>0.2222857142857142</v>
      </c>
      <c r="Z5" s="7">
        <f t="shared" ref="Z5" si="10">Z4/U4-1</f>
        <v>0.23785020011435098</v>
      </c>
      <c r="AB5" s="7">
        <f>AB4/W4-1</f>
        <v>0.18743047830923243</v>
      </c>
      <c r="AC5" s="7">
        <f t="shared" ref="AC5" si="11">AC4/X4-1</f>
        <v>0.1104085603112841</v>
      </c>
      <c r="AD5" s="7">
        <f t="shared" ref="AD5" si="12">AD4/Y4-1</f>
        <v>5.2828424497428639E-2</v>
      </c>
      <c r="AE5" s="373">
        <f>AE4/Z4-1</f>
        <v>3.9722863741339598E-2</v>
      </c>
      <c r="AF5" s="10">
        <f>AF4/AA4-1</f>
        <v>9.3527825447413671E-2</v>
      </c>
      <c r="AG5" s="8">
        <f t="shared" ref="AG5:AJ5" si="13">AG4/AB4-1</f>
        <v>4.3817800788954697E-2</v>
      </c>
      <c r="AH5" s="8">
        <f t="shared" si="13"/>
        <v>2.581440677966107E-2</v>
      </c>
      <c r="AI5" s="8">
        <f t="shared" si="13"/>
        <v>4.5995985620131963E-2</v>
      </c>
      <c r="AJ5" s="8">
        <f t="shared" si="13"/>
        <v>6.9937103128621114E-2</v>
      </c>
      <c r="AK5" s="73">
        <f>AK4/AF4-1</f>
        <v>4.6350933092864866E-2</v>
      </c>
    </row>
    <row r="6" spans="1:41" x14ac:dyDescent="0.25">
      <c r="A6" s="4"/>
      <c r="C6" s="4"/>
      <c r="D6" s="4"/>
      <c r="E6" s="4"/>
      <c r="F6" s="4"/>
      <c r="G6" s="6"/>
      <c r="H6" s="4"/>
      <c r="I6" s="4"/>
      <c r="J6" s="4"/>
      <c r="K6" s="4"/>
      <c r="L6" s="6"/>
      <c r="M6" s="4"/>
      <c r="N6" s="4"/>
      <c r="O6" s="4"/>
      <c r="P6" s="4"/>
      <c r="Q6" s="6"/>
      <c r="R6" s="4"/>
      <c r="S6" s="4"/>
      <c r="T6" s="4"/>
      <c r="U6" s="4"/>
      <c r="V6" s="6"/>
      <c r="W6" s="4"/>
      <c r="X6" s="4"/>
      <c r="Y6" s="4"/>
      <c r="AE6" s="109"/>
      <c r="AF6" s="67"/>
      <c r="AG6" s="55"/>
      <c r="AH6" s="55"/>
      <c r="AI6" s="55"/>
      <c r="AJ6" s="55"/>
    </row>
    <row r="7" spans="1:41" x14ac:dyDescent="0.25">
      <c r="A7" s="22" t="s">
        <v>24</v>
      </c>
      <c r="C7" s="5">
        <f>C34</f>
        <v>863</v>
      </c>
      <c r="D7" s="5">
        <f t="shared" ref="D7:AJ7" si="14">D34</f>
        <v>930</v>
      </c>
      <c r="E7" s="5">
        <f t="shared" si="14"/>
        <v>982</v>
      </c>
      <c r="F7" s="5">
        <f t="shared" si="14"/>
        <v>1037</v>
      </c>
      <c r="G7" s="5"/>
      <c r="H7" s="5">
        <f t="shared" si="14"/>
        <v>1035</v>
      </c>
      <c r="I7" s="5">
        <f t="shared" si="14"/>
        <v>1084</v>
      </c>
      <c r="J7" s="5">
        <f t="shared" si="14"/>
        <v>1083</v>
      </c>
      <c r="K7" s="5">
        <f t="shared" si="14"/>
        <v>1145</v>
      </c>
      <c r="L7" s="5"/>
      <c r="M7" s="5">
        <f t="shared" si="14"/>
        <v>1090</v>
      </c>
      <c r="N7" s="5">
        <f t="shared" si="14"/>
        <v>1179</v>
      </c>
      <c r="O7" s="5">
        <f t="shared" si="14"/>
        <v>1219</v>
      </c>
      <c r="P7" s="5">
        <f t="shared" si="14"/>
        <v>1275</v>
      </c>
      <c r="Q7" s="5">
        <f>SUM(M7:P7)</f>
        <v>4763</v>
      </c>
      <c r="R7" s="5">
        <f t="shared" si="14"/>
        <v>1150</v>
      </c>
      <c r="S7" s="5">
        <f t="shared" si="14"/>
        <v>1035</v>
      </c>
      <c r="T7" s="5">
        <f t="shared" si="14"/>
        <v>1237</v>
      </c>
      <c r="U7" s="5">
        <f t="shared" si="14"/>
        <v>1323</v>
      </c>
      <c r="V7" s="53">
        <f>SUM(R7:U7)</f>
        <v>4745</v>
      </c>
      <c r="W7" s="5">
        <f t="shared" si="14"/>
        <v>1297</v>
      </c>
      <c r="X7" s="5">
        <f t="shared" si="14"/>
        <v>1471</v>
      </c>
      <c r="Y7" s="5">
        <f t="shared" si="14"/>
        <v>1547</v>
      </c>
      <c r="Z7" s="5">
        <f t="shared" si="14"/>
        <v>1661</v>
      </c>
      <c r="AA7" s="53">
        <f>SUM(W7:Z7)</f>
        <v>5976</v>
      </c>
      <c r="AB7" s="5">
        <f t="shared" si="14"/>
        <v>1521</v>
      </c>
      <c r="AC7" s="5">
        <f t="shared" si="14"/>
        <v>1652</v>
      </c>
      <c r="AD7" s="5">
        <f t="shared" si="14"/>
        <v>1669</v>
      </c>
      <c r="AE7" s="45">
        <f t="shared" si="14"/>
        <v>1726</v>
      </c>
      <c r="AF7" s="53">
        <f>SUM(AB7:AE7)</f>
        <v>6568</v>
      </c>
      <c r="AG7" s="54">
        <f t="shared" si="14"/>
        <v>1595.625</v>
      </c>
      <c r="AH7" s="54">
        <f t="shared" si="14"/>
        <v>1729.23</v>
      </c>
      <c r="AI7" s="54">
        <f t="shared" si="14"/>
        <v>1754.5400000000002</v>
      </c>
      <c r="AJ7" s="54">
        <f t="shared" si="14"/>
        <v>1848.5600000000002</v>
      </c>
      <c r="AK7" s="53">
        <f>SUM(AG7:AJ7)</f>
        <v>6927.9550000000008</v>
      </c>
      <c r="AM7" s="68"/>
    </row>
    <row r="8" spans="1:41" x14ac:dyDescent="0.25">
      <c r="A8" s="23" t="s">
        <v>23</v>
      </c>
      <c r="C8" s="7">
        <v>0.03</v>
      </c>
      <c r="D8" s="7">
        <v>3.5999999999999997E-2</v>
      </c>
      <c r="E8" s="7">
        <v>0.114</v>
      </c>
      <c r="F8" s="7">
        <v>0.155</v>
      </c>
      <c r="G8" s="6"/>
      <c r="H8" s="7">
        <f>H7/C7-1</f>
        <v>0.19930475086906152</v>
      </c>
      <c r="I8" s="7">
        <f t="shared" ref="I8:W8" si="15">I7/D7-1</f>
        <v>0.16559139784946231</v>
      </c>
      <c r="J8" s="7">
        <f t="shared" si="15"/>
        <v>0.10285132382892059</v>
      </c>
      <c r="K8" s="7">
        <f t="shared" si="15"/>
        <v>0.10414657666345217</v>
      </c>
      <c r="L8" s="7"/>
      <c r="M8" s="7">
        <f t="shared" si="15"/>
        <v>5.3140096618357502E-2</v>
      </c>
      <c r="N8" s="7">
        <f t="shared" si="15"/>
        <v>8.7638376383763816E-2</v>
      </c>
      <c r="O8" s="7">
        <f t="shared" si="15"/>
        <v>0.12557710064635264</v>
      </c>
      <c r="P8" s="7">
        <f t="shared" si="15"/>
        <v>0.11353711790393017</v>
      </c>
      <c r="Q8" s="7"/>
      <c r="R8" s="7">
        <f t="shared" si="15"/>
        <v>5.504587155963292E-2</v>
      </c>
      <c r="S8" s="7">
        <f t="shared" si="15"/>
        <v>-0.12213740458015265</v>
      </c>
      <c r="T8" s="7">
        <f t="shared" si="15"/>
        <v>1.4766201804758072E-2</v>
      </c>
      <c r="U8" s="7">
        <f t="shared" si="15"/>
        <v>3.7647058823529367E-2</v>
      </c>
      <c r="V8" s="72">
        <f>V7/(SUM(M7:P7))-1</f>
        <v>-3.7791307999159862E-3</v>
      </c>
      <c r="W8" s="7">
        <f t="shared" si="15"/>
        <v>0.12782608695652176</v>
      </c>
      <c r="X8" s="7">
        <f t="shared" ref="X8" si="16">X7/S7-1</f>
        <v>0.42125603864734296</v>
      </c>
      <c r="Y8" s="7">
        <f t="shared" ref="Y8" si="17">Y7/T7-1</f>
        <v>0.25060630557801122</v>
      </c>
      <c r="Z8" s="7">
        <f t="shared" ref="Z8" si="18">Z7/U7-1</f>
        <v>0.25547996976568399</v>
      </c>
      <c r="AA8" s="72">
        <f>AA7/V7-1</f>
        <v>0.25943097997892517</v>
      </c>
      <c r="AB8" s="7">
        <f t="shared" ref="AB8" si="19">AB7/W7-1</f>
        <v>0.17270624518118738</v>
      </c>
      <c r="AC8" s="7">
        <f t="shared" ref="AC8" si="20">AC7/X7-1</f>
        <v>0.12304554724677086</v>
      </c>
      <c r="AD8" s="7">
        <f t="shared" ref="AD8" si="21">AD7/Y7-1</f>
        <v>7.8862314156431745E-2</v>
      </c>
      <c r="AE8" s="373">
        <f>AE7/Z7-1</f>
        <v>3.9133052378085509E-2</v>
      </c>
      <c r="AF8" s="70">
        <f>AF7/AA7-1</f>
        <v>9.9062918340026673E-2</v>
      </c>
      <c r="AG8" s="8">
        <f>AG7/AB7-1</f>
        <v>4.9063116370808624E-2</v>
      </c>
      <c r="AH8" s="8">
        <f t="shared" ref="AH8:AJ8" si="22">AH7/AC7-1</f>
        <v>4.6749394673123446E-2</v>
      </c>
      <c r="AI8" s="8">
        <f t="shared" si="22"/>
        <v>5.1252246854403882E-2</v>
      </c>
      <c r="AJ8" s="8">
        <f t="shared" si="22"/>
        <v>7.100811123986106E-2</v>
      </c>
      <c r="AM8" s="71">
        <f>AK7/AF7-1</f>
        <v>5.4804354445797898E-2</v>
      </c>
      <c r="AN8" s="34" t="s">
        <v>93</v>
      </c>
      <c r="AO8" s="34"/>
    </row>
    <row r="9" spans="1:41" x14ac:dyDescent="0.25">
      <c r="A9" s="24"/>
      <c r="C9" s="10"/>
      <c r="D9" s="10"/>
      <c r="E9" s="10"/>
      <c r="F9" s="10"/>
      <c r="G9" s="6"/>
      <c r="H9" s="10"/>
      <c r="I9" s="10"/>
      <c r="J9" s="10"/>
      <c r="K9" s="10"/>
      <c r="L9" s="6"/>
      <c r="M9" s="10"/>
      <c r="N9" s="10"/>
      <c r="O9" s="10"/>
      <c r="P9" s="10"/>
      <c r="Q9" s="6"/>
      <c r="R9" s="10"/>
      <c r="S9" s="10"/>
      <c r="T9" s="10"/>
      <c r="U9" s="10"/>
      <c r="V9" s="6"/>
      <c r="W9" s="69"/>
      <c r="X9" s="10"/>
      <c r="Y9" s="11"/>
      <c r="AE9" s="109"/>
      <c r="AG9" s="55"/>
      <c r="AH9" s="55"/>
      <c r="AI9" s="55"/>
      <c r="AJ9" s="55"/>
      <c r="AM9" s="71">
        <f>(AK7/V7)^(1/3)-1</f>
        <v>0.13446111306312192</v>
      </c>
      <c r="AN9" s="34" t="s">
        <v>94</v>
      </c>
      <c r="AO9" s="34"/>
    </row>
    <row r="10" spans="1:41" s="34" customFormat="1" x14ac:dyDescent="0.25">
      <c r="A10" s="22" t="s">
        <v>63</v>
      </c>
      <c r="C10" s="43">
        <f>C4/C7*10</f>
        <v>13.777520278099653</v>
      </c>
      <c r="D10" s="43">
        <f t="shared" ref="D10:AE10" si="23">D4/D7*10</f>
        <v>13.548387096774192</v>
      </c>
      <c r="E10" s="43">
        <f t="shared" si="23"/>
        <v>13.258655804480652</v>
      </c>
      <c r="F10" s="43">
        <f t="shared" si="23"/>
        <v>13.297974927675988</v>
      </c>
      <c r="G10" s="43"/>
      <c r="H10" s="43">
        <f t="shared" si="23"/>
        <v>14.086956521739131</v>
      </c>
      <c r="I10" s="43">
        <f t="shared" si="23"/>
        <v>14.178966789667896</v>
      </c>
      <c r="J10" s="43">
        <f t="shared" si="23"/>
        <v>14.441366574330562</v>
      </c>
      <c r="K10" s="43">
        <f t="shared" si="23"/>
        <v>13.790393013100438</v>
      </c>
      <c r="L10" s="43"/>
      <c r="M10" s="43">
        <f t="shared" si="23"/>
        <v>14.724770642201834</v>
      </c>
      <c r="N10" s="43">
        <f t="shared" si="23"/>
        <v>14.24936386768448</v>
      </c>
      <c r="O10" s="43">
        <f t="shared" si="23"/>
        <v>14.126333059885152</v>
      </c>
      <c r="P10" s="43">
        <f t="shared" si="23"/>
        <v>13.913725490196079</v>
      </c>
      <c r="Q10" s="43"/>
      <c r="R10" s="43">
        <f t="shared" si="23"/>
        <v>14.634782608695652</v>
      </c>
      <c r="S10" s="43">
        <f t="shared" si="23"/>
        <v>14.241545893719806</v>
      </c>
      <c r="T10" s="43">
        <f t="shared" si="23"/>
        <v>14.147130153597413</v>
      </c>
      <c r="U10" s="43">
        <f t="shared" si="23"/>
        <v>13.219954648526077</v>
      </c>
      <c r="V10" s="43"/>
      <c r="W10" s="43">
        <f t="shared" si="23"/>
        <v>13.862760215882805</v>
      </c>
      <c r="X10" s="43">
        <f t="shared" si="23"/>
        <v>13.9768864717879</v>
      </c>
      <c r="Y10" s="43">
        <f t="shared" si="23"/>
        <v>13.826761473820298</v>
      </c>
      <c r="Z10" s="43">
        <f t="shared" si="23"/>
        <v>13.034316676700783</v>
      </c>
      <c r="AB10" s="43">
        <f t="shared" si="23"/>
        <v>14.036817882971729</v>
      </c>
      <c r="AC10" s="43">
        <f t="shared" si="23"/>
        <v>13.81961259079903</v>
      </c>
      <c r="AD10" s="43">
        <f t="shared" si="23"/>
        <v>13.493109646494908</v>
      </c>
      <c r="AE10" s="43">
        <f t="shared" si="23"/>
        <v>13.041714947856315</v>
      </c>
      <c r="AG10" s="56">
        <f t="shared" ref="AG10:AJ10" si="24">AB10*(1+AG11)</f>
        <v>13.96663379355687</v>
      </c>
      <c r="AH10" s="56">
        <f t="shared" si="24"/>
        <v>13.543220338983049</v>
      </c>
      <c r="AI10" s="56">
        <f t="shared" si="24"/>
        <v>13.425644098262433</v>
      </c>
      <c r="AJ10" s="56">
        <f t="shared" si="24"/>
        <v>13.028673232908458</v>
      </c>
      <c r="AM10"/>
    </row>
    <row r="11" spans="1:41" x14ac:dyDescent="0.25">
      <c r="A11" s="23" t="s">
        <v>61</v>
      </c>
      <c r="C11" s="38">
        <v>0.124</v>
      </c>
      <c r="D11" s="38">
        <v>9.6000000000000002E-2</v>
      </c>
      <c r="E11" s="38">
        <v>3.3000000000000002E-2</v>
      </c>
      <c r="F11" s="38">
        <v>4.5999999999999999E-2</v>
      </c>
      <c r="G11" s="38"/>
      <c r="H11" s="38">
        <f>H10/C10-1</f>
        <v>2.2459501956338945E-2</v>
      </c>
      <c r="I11" s="38">
        <f t="shared" ref="I11:K11" si="25">I10/D10-1</f>
        <v>4.6542786856440088E-2</v>
      </c>
      <c r="J11" s="38">
        <f t="shared" si="25"/>
        <v>8.9202916742904037E-2</v>
      </c>
      <c r="K11" s="38">
        <f t="shared" si="25"/>
        <v>3.702955435715416E-2</v>
      </c>
      <c r="L11" s="38"/>
      <c r="M11" s="38">
        <f>M10/H10-1</f>
        <v>4.5276928304451181E-2</v>
      </c>
      <c r="N11" s="38">
        <f t="shared" ref="N11" si="26">N10/I10-1</f>
        <v>4.9648947670772881E-3</v>
      </c>
      <c r="O11" s="38">
        <f t="shared" ref="O11" si="27">O10/J10-1</f>
        <v>-2.1814660878796688E-2</v>
      </c>
      <c r="P11" s="38">
        <f t="shared" ref="P11" si="28">P10/K10-1</f>
        <v>8.943362018651646E-3</v>
      </c>
      <c r="Q11" s="38"/>
      <c r="R11" s="38">
        <f>R10/M10-1</f>
        <v>-6.1113368549370328E-3</v>
      </c>
      <c r="S11" s="38">
        <f t="shared" ref="S11" si="29">S10/N10-1</f>
        <v>-5.4865424430650123E-4</v>
      </c>
      <c r="T11" s="38">
        <f t="shared" ref="T11" si="30">T10/O10-1</f>
        <v>1.4722216745206573E-3</v>
      </c>
      <c r="U11" s="38">
        <f t="shared" ref="U11" si="31">U10/P10-1</f>
        <v>-4.986233501292292E-2</v>
      </c>
      <c r="V11" s="38"/>
      <c r="W11" s="38">
        <f>W10/R10-1</f>
        <v>-5.2752569918881442E-2</v>
      </c>
      <c r="X11" s="38">
        <f t="shared" ref="X11:Z11" si="32">X10/S10-1</f>
        <v>-1.8583616126154889E-2</v>
      </c>
      <c r="Y11" s="38">
        <f t="shared" si="32"/>
        <v>-2.2645488964816662E-2</v>
      </c>
      <c r="Z11" s="38">
        <f t="shared" si="32"/>
        <v>-1.4042254815601174E-2</v>
      </c>
      <c r="AB11" s="38">
        <f>AB10/W10-1</f>
        <v>1.2555772759417883E-2</v>
      </c>
      <c r="AC11" s="38">
        <f t="shared" ref="AC11" si="33">AC10/X10-1</f>
        <v>-1.1252426018221184E-2</v>
      </c>
      <c r="AD11" s="38">
        <f t="shared" ref="AD11" si="34">AD10/Y10-1</f>
        <v>-2.4130873159063926E-2</v>
      </c>
      <c r="AE11" s="374">
        <v>-0.01</v>
      </c>
      <c r="AG11" s="57">
        <v>-5.0000000000000001E-3</v>
      </c>
      <c r="AH11" s="57">
        <v>-0.02</v>
      </c>
      <c r="AI11" s="57">
        <v>-5.0000000000000001E-3</v>
      </c>
      <c r="AJ11" s="57">
        <v>-1E-3</v>
      </c>
    </row>
    <row r="12" spans="1:41" x14ac:dyDescent="0.25">
      <c r="A12" s="4"/>
      <c r="C12" s="4"/>
      <c r="D12" s="4"/>
      <c r="E12" s="4"/>
      <c r="F12" s="4"/>
      <c r="G12" s="6"/>
      <c r="H12" s="6"/>
      <c r="I12" s="4"/>
      <c r="J12" s="4"/>
      <c r="K12" s="4"/>
      <c r="L12" s="6"/>
      <c r="M12" s="4"/>
      <c r="N12" s="4"/>
      <c r="O12" s="4"/>
      <c r="P12" s="4"/>
      <c r="Q12" s="6"/>
      <c r="R12" s="4"/>
      <c r="S12" s="4"/>
      <c r="T12" s="4"/>
      <c r="U12" s="4"/>
      <c r="V12" s="6"/>
      <c r="W12" s="4"/>
      <c r="X12" s="4"/>
      <c r="Y12" s="4"/>
      <c r="AE12" s="55"/>
    </row>
    <row r="13" spans="1:41" x14ac:dyDescent="0.25">
      <c r="A13" s="33" t="s">
        <v>88</v>
      </c>
      <c r="C13" s="4"/>
      <c r="D13" s="4"/>
      <c r="E13" s="4"/>
      <c r="F13" s="4"/>
      <c r="G13" s="6"/>
      <c r="H13" s="6"/>
      <c r="I13" s="4"/>
      <c r="J13" s="4"/>
      <c r="K13" s="4"/>
      <c r="L13" s="6"/>
      <c r="M13" s="4"/>
      <c r="N13" s="4"/>
      <c r="O13" s="4"/>
      <c r="P13" s="4"/>
      <c r="Q13" s="6"/>
      <c r="R13" s="4"/>
      <c r="S13" s="4"/>
      <c r="T13" s="4"/>
      <c r="U13" s="4"/>
      <c r="V13" s="6"/>
      <c r="W13" s="4"/>
      <c r="X13" s="10"/>
      <c r="Y13" s="10"/>
      <c r="AE13" s="55"/>
    </row>
    <row r="14" spans="1:41" x14ac:dyDescent="0.25">
      <c r="A14" s="22" t="s">
        <v>25</v>
      </c>
      <c r="C14" s="5">
        <v>170</v>
      </c>
      <c r="D14" s="5">
        <v>187</v>
      </c>
      <c r="E14" s="5">
        <v>188</v>
      </c>
      <c r="F14" s="5">
        <v>198</v>
      </c>
      <c r="G14" s="6"/>
      <c r="H14" s="13">
        <v>185</v>
      </c>
      <c r="I14" s="13">
        <v>202</v>
      </c>
      <c r="J14" s="13">
        <v>205</v>
      </c>
      <c r="K14" s="5">
        <v>219</v>
      </c>
      <c r="L14" s="6"/>
      <c r="M14" s="13">
        <v>203</v>
      </c>
      <c r="N14" s="13">
        <v>228</v>
      </c>
      <c r="O14" s="13">
        <v>235</v>
      </c>
      <c r="P14" s="13">
        <v>244</v>
      </c>
      <c r="Q14" s="6"/>
      <c r="R14" s="13">
        <v>217</v>
      </c>
      <c r="S14" s="13">
        <v>178</v>
      </c>
      <c r="T14" s="13">
        <v>212</v>
      </c>
      <c r="U14" s="13">
        <v>233</v>
      </c>
      <c r="V14" s="6"/>
      <c r="W14" s="13">
        <v>221</v>
      </c>
      <c r="X14" s="13">
        <v>269</v>
      </c>
      <c r="Y14" s="13">
        <v>284</v>
      </c>
      <c r="Z14" s="13">
        <v>310</v>
      </c>
      <c r="AB14" s="13">
        <v>291</v>
      </c>
      <c r="AC14" s="13">
        <v>335</v>
      </c>
      <c r="AD14" s="13">
        <v>342</v>
      </c>
      <c r="AE14" s="370">
        <v>353</v>
      </c>
      <c r="AG14" s="58">
        <f>AB14*(1+AG15)</f>
        <v>296.82</v>
      </c>
      <c r="AH14" s="58">
        <f>AC14*(1+AH15)</f>
        <v>318.25</v>
      </c>
      <c r="AI14" s="58">
        <f>AD14*(1+AI15)</f>
        <v>328.32</v>
      </c>
      <c r="AJ14" s="58">
        <f>AE14*(1+AJ15)</f>
        <v>370.65000000000003</v>
      </c>
    </row>
    <row r="15" spans="1:41" x14ac:dyDescent="0.25">
      <c r="A15" s="23" t="s">
        <v>23</v>
      </c>
      <c r="C15" s="7">
        <v>4.5999999999999999E-2</v>
      </c>
      <c r="D15" s="7">
        <v>5.6000000000000001E-2</v>
      </c>
      <c r="E15" s="7">
        <v>0.08</v>
      </c>
      <c r="F15" s="7">
        <v>0.1</v>
      </c>
      <c r="G15" s="39"/>
      <c r="H15" s="40">
        <f>H14/C14-1</f>
        <v>8.8235294117646967E-2</v>
      </c>
      <c r="I15" s="40">
        <f t="shared" ref="I15:K15" si="35">I14/D14-1</f>
        <v>8.0213903743315607E-2</v>
      </c>
      <c r="J15" s="40">
        <f t="shared" si="35"/>
        <v>9.0425531914893664E-2</v>
      </c>
      <c r="K15" s="40">
        <f t="shared" si="35"/>
        <v>0.10606060606060597</v>
      </c>
      <c r="L15" s="39"/>
      <c r="M15" s="40">
        <f>M14/H14-1</f>
        <v>9.7297297297297192E-2</v>
      </c>
      <c r="N15" s="40">
        <f t="shared" ref="N15" si="36">N14/I14-1</f>
        <v>0.12871287128712861</v>
      </c>
      <c r="O15" s="40">
        <f t="shared" ref="O15" si="37">O14/J14-1</f>
        <v>0.14634146341463405</v>
      </c>
      <c r="P15" s="40">
        <f t="shared" ref="P15" si="38">P14/K14-1</f>
        <v>0.11415525114155245</v>
      </c>
      <c r="Q15" s="39"/>
      <c r="R15" s="40">
        <f>R14/M14-1</f>
        <v>6.8965517241379226E-2</v>
      </c>
      <c r="S15" s="40">
        <f t="shared" ref="S15" si="39">S14/N14-1</f>
        <v>-0.2192982456140351</v>
      </c>
      <c r="T15" s="40">
        <f t="shared" ref="T15" si="40">T14/O14-1</f>
        <v>-9.7872340425531945E-2</v>
      </c>
      <c r="U15" s="40">
        <f t="shared" ref="U15" si="41">U14/P14-1</f>
        <v>-4.5081967213114749E-2</v>
      </c>
      <c r="V15" s="39"/>
      <c r="W15" s="40">
        <f>W14/R14-1</f>
        <v>1.8433179723502224E-2</v>
      </c>
      <c r="X15" s="40">
        <f t="shared" ref="X15" si="42">X14/S14-1</f>
        <v>0.5112359550561798</v>
      </c>
      <c r="Y15" s="40">
        <f t="shared" ref="Y15" si="43">Y14/T14-1</f>
        <v>0.33962264150943389</v>
      </c>
      <c r="Z15" s="40">
        <f t="shared" ref="Z15" si="44">Z14/U14-1</f>
        <v>0.33047210300429186</v>
      </c>
      <c r="AB15" s="40">
        <f>AB14/W14-1</f>
        <v>0.31674208144796379</v>
      </c>
      <c r="AC15" s="40">
        <f t="shared" ref="AC15" si="45">AC14/X14-1</f>
        <v>0.24535315985130102</v>
      </c>
      <c r="AD15" s="40">
        <f t="shared" ref="AD15:AE15" si="46">AD14/Y14-1</f>
        <v>0.20422535211267601</v>
      </c>
      <c r="AE15" s="40">
        <f t="shared" si="46"/>
        <v>0.1387096774193548</v>
      </c>
      <c r="AG15" s="59">
        <v>0.02</v>
      </c>
      <c r="AH15" s="59">
        <v>-0.05</v>
      </c>
      <c r="AI15" s="59">
        <v>-0.04</v>
      </c>
      <c r="AJ15" s="59">
        <v>0.05</v>
      </c>
    </row>
    <row r="16" spans="1:41" x14ac:dyDescent="0.25">
      <c r="A16" s="22" t="s">
        <v>26</v>
      </c>
      <c r="C16" s="5">
        <v>154</v>
      </c>
      <c r="D16" s="5">
        <v>160</v>
      </c>
      <c r="E16" s="5">
        <v>160</v>
      </c>
      <c r="F16" s="5">
        <v>168</v>
      </c>
      <c r="G16" s="6"/>
      <c r="H16" s="13">
        <v>174</v>
      </c>
      <c r="I16" s="13">
        <v>182</v>
      </c>
      <c r="J16" s="13">
        <v>180</v>
      </c>
      <c r="K16" s="5">
        <v>189</v>
      </c>
      <c r="L16" s="6"/>
      <c r="M16" s="13">
        <v>189</v>
      </c>
      <c r="N16" s="13">
        <v>199</v>
      </c>
      <c r="O16" s="13">
        <v>199</v>
      </c>
      <c r="P16" s="13">
        <v>205</v>
      </c>
      <c r="Q16" s="6"/>
      <c r="R16" s="13">
        <v>202</v>
      </c>
      <c r="S16" s="13">
        <v>226</v>
      </c>
      <c r="T16" s="13">
        <v>239</v>
      </c>
      <c r="U16" s="13">
        <v>239</v>
      </c>
      <c r="V16" s="6"/>
      <c r="W16" s="13">
        <v>257</v>
      </c>
      <c r="X16" s="13">
        <v>282</v>
      </c>
      <c r="Y16" s="13">
        <v>271</v>
      </c>
      <c r="Z16" s="13">
        <v>282</v>
      </c>
      <c r="AB16" s="13">
        <v>271</v>
      </c>
      <c r="AC16" s="13">
        <v>284</v>
      </c>
      <c r="AD16" s="13">
        <v>279</v>
      </c>
      <c r="AE16" s="13">
        <v>287</v>
      </c>
      <c r="AG16" s="58">
        <f>AB16*(1+AG17)</f>
        <v>272.35499999999996</v>
      </c>
      <c r="AH16" s="58">
        <f>AC16*(1+AH17)</f>
        <v>286.83999999999997</v>
      </c>
      <c r="AI16" s="58">
        <f>AD16*(1+AI17)</f>
        <v>273.42</v>
      </c>
      <c r="AJ16" s="58">
        <f>AE16*(1+AJ17)</f>
        <v>295.61</v>
      </c>
    </row>
    <row r="17" spans="1:36" s="41" customFormat="1" x14ac:dyDescent="0.25">
      <c r="A17" s="23" t="s">
        <v>23</v>
      </c>
      <c r="C17" s="7">
        <v>0</v>
      </c>
      <c r="D17" s="7">
        <v>6.0000000000000001E-3</v>
      </c>
      <c r="E17" s="7">
        <v>4.9000000000000002E-2</v>
      </c>
      <c r="F17" s="7">
        <v>9.8000000000000004E-2</v>
      </c>
      <c r="G17" s="39"/>
      <c r="H17" s="40">
        <f>H16/C16-1</f>
        <v>0.12987012987012991</v>
      </c>
      <c r="I17" s="40">
        <f t="shared" ref="I17:K17" si="47">I16/D16-1</f>
        <v>0.13749999999999996</v>
      </c>
      <c r="J17" s="40">
        <f t="shared" si="47"/>
        <v>0.125</v>
      </c>
      <c r="K17" s="40">
        <f t="shared" si="47"/>
        <v>0.125</v>
      </c>
      <c r="L17" s="39"/>
      <c r="M17" s="40">
        <f>M16/H16-1</f>
        <v>8.6206896551724199E-2</v>
      </c>
      <c r="N17" s="40">
        <f t="shared" ref="N17" si="48">N16/I16-1</f>
        <v>9.3406593406593297E-2</v>
      </c>
      <c r="O17" s="40">
        <f t="shared" ref="O17" si="49">O16/J16-1</f>
        <v>0.10555555555555562</v>
      </c>
      <c r="P17" s="40">
        <f t="shared" ref="P17" si="50">P16/K16-1</f>
        <v>8.4656084656084651E-2</v>
      </c>
      <c r="Q17" s="39"/>
      <c r="R17" s="40">
        <f>R16/M16-1</f>
        <v>6.8783068783068835E-2</v>
      </c>
      <c r="S17" s="40">
        <f t="shared" ref="S17" si="51">S16/N16-1</f>
        <v>0.13567839195979903</v>
      </c>
      <c r="T17" s="40">
        <f t="shared" ref="T17" si="52">T16/O16-1</f>
        <v>0.20100502512562812</v>
      </c>
      <c r="U17" s="40">
        <f t="shared" ref="U17" si="53">U16/P16-1</f>
        <v>0.16585365853658529</v>
      </c>
      <c r="V17" s="39"/>
      <c r="W17" s="40">
        <f>W16/R16-1</f>
        <v>0.2722772277227723</v>
      </c>
      <c r="X17" s="40">
        <f t="shared" ref="X17" si="54">X16/S16-1</f>
        <v>0.24778761061946897</v>
      </c>
      <c r="Y17" s="40">
        <f t="shared" ref="Y17" si="55">Y16/T16-1</f>
        <v>0.13389121338912124</v>
      </c>
      <c r="Z17" s="40">
        <f t="shared" ref="Z17" si="56">Z16/U16-1</f>
        <v>0.17991631799163188</v>
      </c>
      <c r="AB17" s="40">
        <f>AB16/W16-1</f>
        <v>5.4474708171206254E-2</v>
      </c>
      <c r="AC17" s="40">
        <f t="shared" ref="AC17" si="57">AC16/X16-1</f>
        <v>7.0921985815601829E-3</v>
      </c>
      <c r="AD17" s="40">
        <f t="shared" ref="AD17:AE17" si="58">AD16/Y16-1</f>
        <v>2.9520295202952074E-2</v>
      </c>
      <c r="AE17" s="40">
        <f t="shared" si="58"/>
        <v>1.7730496453900679E-2</v>
      </c>
      <c r="AG17" s="59">
        <v>5.0000000000000001E-3</v>
      </c>
      <c r="AH17" s="59">
        <v>0.01</v>
      </c>
      <c r="AI17" s="59">
        <v>-0.02</v>
      </c>
      <c r="AJ17" s="59">
        <v>0.03</v>
      </c>
    </row>
    <row r="18" spans="1:36" x14ac:dyDescent="0.25">
      <c r="A18" s="22" t="s">
        <v>27</v>
      </c>
      <c r="C18" s="5">
        <f>SUM(C14,C16)</f>
        <v>324</v>
      </c>
      <c r="D18" s="5">
        <f t="shared" ref="D18:F18" si="59">SUM(D14,D16)</f>
        <v>347</v>
      </c>
      <c r="E18" s="5">
        <f t="shared" si="59"/>
        <v>348</v>
      </c>
      <c r="F18" s="5">
        <f t="shared" si="59"/>
        <v>366</v>
      </c>
      <c r="G18" s="4"/>
      <c r="H18" s="5">
        <f>SUM(H14,H16)</f>
        <v>359</v>
      </c>
      <c r="I18" s="5">
        <f t="shared" ref="I18:K18" si="60">SUM(I14,I16)</f>
        <v>384</v>
      </c>
      <c r="J18" s="5">
        <f t="shared" si="60"/>
        <v>385</v>
      </c>
      <c r="K18" s="5">
        <f t="shared" si="60"/>
        <v>408</v>
      </c>
      <c r="L18" s="4"/>
      <c r="M18" s="5">
        <f>SUM(M14,M16)</f>
        <v>392</v>
      </c>
      <c r="N18" s="5">
        <f t="shared" ref="N18:P18" si="61">SUM(N14,N16)</f>
        <v>427</v>
      </c>
      <c r="O18" s="5">
        <f t="shared" si="61"/>
        <v>434</v>
      </c>
      <c r="P18" s="5">
        <f t="shared" si="61"/>
        <v>449</v>
      </c>
      <c r="Q18" s="4"/>
      <c r="R18" s="5">
        <f>SUM(R14,R16)</f>
        <v>419</v>
      </c>
      <c r="S18" s="5">
        <f t="shared" ref="S18:U18" si="62">SUM(S14,S16)</f>
        <v>404</v>
      </c>
      <c r="T18" s="5">
        <f t="shared" si="62"/>
        <v>451</v>
      </c>
      <c r="U18" s="5">
        <f t="shared" si="62"/>
        <v>472</v>
      </c>
      <c r="V18" s="4"/>
      <c r="W18" s="5">
        <f>SUM(W14,W16)</f>
        <v>478</v>
      </c>
      <c r="X18" s="5">
        <f t="shared" ref="X18:Z18" si="63">SUM(X14,X16)</f>
        <v>551</v>
      </c>
      <c r="Y18" s="5">
        <f t="shared" si="63"/>
        <v>555</v>
      </c>
      <c r="Z18" s="5">
        <f t="shared" si="63"/>
        <v>592</v>
      </c>
      <c r="AB18" s="5">
        <f>SUM(AB14,AB16)</f>
        <v>562</v>
      </c>
      <c r="AC18" s="5">
        <f t="shared" ref="AC18:AE18" si="64">SUM(AC14,AC16)</f>
        <v>619</v>
      </c>
      <c r="AD18" s="5">
        <f t="shared" si="64"/>
        <v>621</v>
      </c>
      <c r="AE18" s="5">
        <f t="shared" si="64"/>
        <v>640</v>
      </c>
      <c r="AG18" s="58">
        <f t="shared" ref="AG18:AH18" si="65">SUM(AG14,AG16)</f>
        <v>569.17499999999995</v>
      </c>
      <c r="AH18" s="58">
        <f t="shared" si="65"/>
        <v>605.08999999999992</v>
      </c>
      <c r="AI18" s="58">
        <f t="shared" ref="AI18:AJ18" si="66">SUM(AI14,AI16)</f>
        <v>601.74</v>
      </c>
      <c r="AJ18" s="58">
        <f t="shared" si="66"/>
        <v>666.26</v>
      </c>
    </row>
    <row r="19" spans="1:36" s="41" customFormat="1" x14ac:dyDescent="0.25">
      <c r="A19" s="23" t="s">
        <v>23</v>
      </c>
      <c r="C19" s="7">
        <v>2.4E-2</v>
      </c>
      <c r="D19" s="7">
        <v>3.3000000000000002E-2</v>
      </c>
      <c r="E19" s="7">
        <v>6.6000000000000003E-2</v>
      </c>
      <c r="F19" s="7">
        <v>9.9000000000000005E-2</v>
      </c>
      <c r="G19" s="42"/>
      <c r="H19" s="40">
        <f>H18/C18-1</f>
        <v>0.10802469135802473</v>
      </c>
      <c r="I19" s="40">
        <f t="shared" ref="I19:K19" si="67">I18/D18-1</f>
        <v>0.10662824207492805</v>
      </c>
      <c r="J19" s="40">
        <f t="shared" si="67"/>
        <v>0.10632183908045967</v>
      </c>
      <c r="K19" s="40">
        <f t="shared" si="67"/>
        <v>0.11475409836065564</v>
      </c>
      <c r="L19" s="42"/>
      <c r="M19" s="40">
        <f>M18/H18-1</f>
        <v>9.1922005571030585E-2</v>
      </c>
      <c r="N19" s="40">
        <f t="shared" ref="N19" si="68">N18/I18-1</f>
        <v>0.11197916666666674</v>
      </c>
      <c r="O19" s="40">
        <f t="shared" ref="O19" si="69">O18/J18-1</f>
        <v>0.1272727272727272</v>
      </c>
      <c r="P19" s="40">
        <f t="shared" ref="P19" si="70">P18/K18-1</f>
        <v>0.10049019607843146</v>
      </c>
      <c r="Q19" s="42"/>
      <c r="R19" s="40">
        <f>R18/M18-1</f>
        <v>6.8877551020408267E-2</v>
      </c>
      <c r="S19" s="40">
        <f t="shared" ref="S19" si="71">S18/N18-1</f>
        <v>-5.3864168618266928E-2</v>
      </c>
      <c r="T19" s="40">
        <f t="shared" ref="T19" si="72">T18/O18-1</f>
        <v>3.9170506912442393E-2</v>
      </c>
      <c r="U19" s="40">
        <f t="shared" ref="U19" si="73">U18/P18-1</f>
        <v>5.1224944320712673E-2</v>
      </c>
      <c r="V19" s="42"/>
      <c r="W19" s="40">
        <f>W18/R18-1</f>
        <v>0.1408114558472553</v>
      </c>
      <c r="X19" s="40">
        <f t="shared" ref="X19" si="74">X18/S18-1</f>
        <v>0.36386138613861396</v>
      </c>
      <c r="Y19" s="40">
        <f t="shared" ref="Y19" si="75">Y18/T18-1</f>
        <v>0.23059866962305997</v>
      </c>
      <c r="Z19" s="40">
        <f t="shared" ref="Z19" si="76">Z18/U18-1</f>
        <v>0.25423728813559321</v>
      </c>
      <c r="AB19" s="40">
        <f>AB18/W18-1</f>
        <v>0.17573221757322166</v>
      </c>
      <c r="AC19" s="40">
        <f t="shared" ref="AC19" si="77">AC18/X18-1</f>
        <v>0.12341197822141559</v>
      </c>
      <c r="AD19" s="40">
        <f t="shared" ref="AD19:AE19" si="78">AD18/Y18-1</f>
        <v>0.11891891891891881</v>
      </c>
      <c r="AE19" s="40">
        <f t="shared" si="78"/>
        <v>8.1081081081081141E-2</v>
      </c>
      <c r="AG19" s="59">
        <f>AG18/AB18-1</f>
        <v>1.2766903914590566E-2</v>
      </c>
      <c r="AH19" s="59">
        <f>AH18/AC18-1</f>
        <v>-2.2471728594507412E-2</v>
      </c>
      <c r="AI19" s="59">
        <f>AI18/AD18-1</f>
        <v>-3.1014492753623224E-2</v>
      </c>
      <c r="AJ19" s="59">
        <f>AJ18/AE18-1</f>
        <v>4.1031250000000075E-2</v>
      </c>
    </row>
    <row r="20" spans="1:36" x14ac:dyDescent="0.25">
      <c r="A20" s="24"/>
      <c r="C20" s="4"/>
      <c r="D20" s="4"/>
      <c r="E20" s="4"/>
      <c r="F20" s="4"/>
      <c r="G20" s="4"/>
      <c r="H20" s="4"/>
      <c r="I20" s="4"/>
      <c r="J20" s="4"/>
      <c r="K20" s="4"/>
      <c r="L20" s="4"/>
      <c r="M20" s="4"/>
      <c r="N20" s="4"/>
      <c r="O20" s="4"/>
      <c r="P20" s="4"/>
      <c r="Q20" s="4"/>
      <c r="R20" s="4"/>
      <c r="S20" s="4"/>
      <c r="T20" s="4"/>
      <c r="U20" s="4"/>
      <c r="V20" s="4"/>
      <c r="W20" s="4"/>
      <c r="X20" s="12"/>
      <c r="Y20" s="12"/>
      <c r="AE20" s="55"/>
      <c r="AG20" s="55"/>
      <c r="AH20" s="55"/>
      <c r="AI20" s="55"/>
      <c r="AJ20" s="55"/>
    </row>
    <row r="21" spans="1:36" x14ac:dyDescent="0.25">
      <c r="A21" s="33" t="s">
        <v>89</v>
      </c>
      <c r="C21" s="4"/>
      <c r="D21" s="4"/>
      <c r="E21" s="4"/>
      <c r="F21" s="4"/>
      <c r="G21" s="4"/>
      <c r="H21" s="4"/>
      <c r="I21" s="4"/>
      <c r="J21" s="4"/>
      <c r="K21" s="4"/>
      <c r="L21" s="4"/>
      <c r="M21" s="4"/>
      <c r="N21" s="4"/>
      <c r="O21" s="4"/>
      <c r="P21" s="4"/>
      <c r="Q21" s="4"/>
      <c r="R21" s="4"/>
      <c r="S21" s="4"/>
      <c r="T21" s="4"/>
      <c r="U21" s="4"/>
      <c r="V21" s="4"/>
      <c r="W21" s="4"/>
      <c r="X21" s="12"/>
      <c r="Y21" s="12"/>
      <c r="AE21" s="55"/>
      <c r="AG21" s="55"/>
      <c r="AH21" s="55"/>
      <c r="AI21" s="55"/>
      <c r="AJ21" s="55"/>
    </row>
    <row r="22" spans="1:36" x14ac:dyDescent="0.25">
      <c r="A22" s="22" t="s">
        <v>25</v>
      </c>
      <c r="C22" s="5">
        <v>407</v>
      </c>
      <c r="D22" s="5">
        <v>434</v>
      </c>
      <c r="E22" s="5">
        <v>466</v>
      </c>
      <c r="F22" s="5">
        <v>489</v>
      </c>
      <c r="G22" s="6"/>
      <c r="H22" s="13">
        <v>490</v>
      </c>
      <c r="I22" s="13">
        <v>506</v>
      </c>
      <c r="J22" s="13">
        <v>496</v>
      </c>
      <c r="K22" s="5">
        <v>519</v>
      </c>
      <c r="L22" s="6"/>
      <c r="M22" s="13">
        <v>492</v>
      </c>
      <c r="N22" s="13">
        <v>520</v>
      </c>
      <c r="O22" s="13">
        <v>536</v>
      </c>
      <c r="P22" s="13">
        <v>557</v>
      </c>
      <c r="Q22" s="6"/>
      <c r="R22" s="13">
        <v>487</v>
      </c>
      <c r="S22" s="13">
        <v>404</v>
      </c>
      <c r="T22" s="13">
        <v>489</v>
      </c>
      <c r="U22" s="13">
        <v>524</v>
      </c>
      <c r="V22" s="6"/>
      <c r="W22" s="13">
        <v>497</v>
      </c>
      <c r="X22" s="13">
        <v>547</v>
      </c>
      <c r="Y22" s="13">
        <v>584</v>
      </c>
      <c r="Z22" s="13">
        <v>620</v>
      </c>
      <c r="AB22" s="13">
        <v>569</v>
      </c>
      <c r="AC22" s="13">
        <v>608</v>
      </c>
      <c r="AD22" s="13">
        <v>608</v>
      </c>
      <c r="AE22" s="5">
        <v>615</v>
      </c>
      <c r="AG22" s="58">
        <f>AB22*(1+AG23)</f>
        <v>597.45000000000005</v>
      </c>
      <c r="AH22" s="58">
        <f>AC22*(1+AH23)</f>
        <v>656.6400000000001</v>
      </c>
      <c r="AI22" s="58">
        <f>AD22*(1+AI23)</f>
        <v>668.80000000000007</v>
      </c>
      <c r="AJ22" s="58">
        <f>AE22*(1+AJ23)</f>
        <v>664.2</v>
      </c>
    </row>
    <row r="23" spans="1:36" x14ac:dyDescent="0.25">
      <c r="A23" s="23" t="s">
        <v>23</v>
      </c>
      <c r="C23" s="10">
        <v>0.05</v>
      </c>
      <c r="D23" s="10">
        <v>3.5999999999999997E-2</v>
      </c>
      <c r="E23" s="10">
        <v>9.4E-2</v>
      </c>
      <c r="F23" s="10">
        <v>0.14799999999999999</v>
      </c>
      <c r="G23" s="6"/>
      <c r="H23" s="40">
        <f>H22/C22-1</f>
        <v>0.20393120393120401</v>
      </c>
      <c r="I23" s="40">
        <f t="shared" ref="I23" si="79">I22/D22-1</f>
        <v>0.16589861751152069</v>
      </c>
      <c r="J23" s="40">
        <f t="shared" ref="J23" si="80">J22/E22-1</f>
        <v>6.4377682403433445E-2</v>
      </c>
      <c r="K23" s="40">
        <f t="shared" ref="K23" si="81">K22/F22-1</f>
        <v>6.1349693251533832E-2</v>
      </c>
      <c r="L23" s="6"/>
      <c r="M23" s="40">
        <f>M22/H22-1</f>
        <v>4.0816326530612734E-3</v>
      </c>
      <c r="N23" s="40">
        <f t="shared" ref="N23" si="82">N22/I22-1</f>
        <v>2.7667984189723382E-2</v>
      </c>
      <c r="O23" s="40">
        <f t="shared" ref="O23" si="83">O22/J22-1</f>
        <v>8.0645161290322509E-2</v>
      </c>
      <c r="P23" s="40">
        <f t="shared" ref="P23" si="84">P22/K22-1</f>
        <v>7.3217726396917149E-2</v>
      </c>
      <c r="Q23" s="6"/>
      <c r="R23" s="40">
        <f>R22/M22-1</f>
        <v>-1.0162601626016232E-2</v>
      </c>
      <c r="S23" s="40">
        <f t="shared" ref="S23" si="85">S22/N22-1</f>
        <v>-0.22307692307692306</v>
      </c>
      <c r="T23" s="40">
        <f t="shared" ref="T23" si="86">T22/O22-1</f>
        <v>-8.7686567164179108E-2</v>
      </c>
      <c r="U23" s="40">
        <f t="shared" ref="U23" si="87">U22/P22-1</f>
        <v>-5.924596050269304E-2</v>
      </c>
      <c r="V23" s="6"/>
      <c r="W23" s="40">
        <f>W22/R22-1</f>
        <v>2.0533880903490731E-2</v>
      </c>
      <c r="X23" s="40">
        <f t="shared" ref="X23" si="88">X22/S22-1</f>
        <v>0.35396039603960405</v>
      </c>
      <c r="Y23" s="40">
        <f t="shared" ref="Y23" si="89">Y22/T22-1</f>
        <v>0.19427402862985677</v>
      </c>
      <c r="Z23" s="40">
        <f t="shared" ref="Z23" si="90">Z22/U22-1</f>
        <v>0.18320610687022909</v>
      </c>
      <c r="AB23" s="40">
        <f>AB22/W22-1</f>
        <v>0.14486921529175056</v>
      </c>
      <c r="AC23" s="40">
        <f t="shared" ref="AC23" si="91">AC22/X22-1</f>
        <v>0.11151736745886653</v>
      </c>
      <c r="AD23" s="40">
        <f t="shared" ref="AD23:AE23" si="92">AD22/Y22-1</f>
        <v>4.1095890410958846E-2</v>
      </c>
      <c r="AE23" s="40">
        <f t="shared" si="92"/>
        <v>-8.0645161290322509E-3</v>
      </c>
      <c r="AG23" s="59">
        <v>0.05</v>
      </c>
      <c r="AH23" s="59">
        <v>0.08</v>
      </c>
      <c r="AI23" s="59">
        <v>0.1</v>
      </c>
      <c r="AJ23" s="59">
        <v>0.08</v>
      </c>
    </row>
    <row r="24" spans="1:36" x14ac:dyDescent="0.25">
      <c r="A24" s="22" t="s">
        <v>26</v>
      </c>
      <c r="C24" s="5">
        <v>132</v>
      </c>
      <c r="D24" s="5">
        <v>149</v>
      </c>
      <c r="E24" s="5">
        <v>168</v>
      </c>
      <c r="F24" s="5">
        <v>182</v>
      </c>
      <c r="G24" s="6"/>
      <c r="H24" s="13">
        <v>186</v>
      </c>
      <c r="I24" s="13">
        <v>194</v>
      </c>
      <c r="J24" s="13">
        <v>202</v>
      </c>
      <c r="K24" s="5">
        <v>218</v>
      </c>
      <c r="L24" s="6"/>
      <c r="M24" s="13">
        <v>206</v>
      </c>
      <c r="N24" s="13">
        <v>232</v>
      </c>
      <c r="O24" s="13">
        <v>249</v>
      </c>
      <c r="P24" s="13">
        <v>269</v>
      </c>
      <c r="Q24" s="6"/>
      <c r="R24" s="13">
        <v>244</v>
      </c>
      <c r="S24" s="13">
        <v>227</v>
      </c>
      <c r="T24" s="13">
        <v>297</v>
      </c>
      <c r="U24" s="13">
        <v>327</v>
      </c>
      <c r="V24" s="6"/>
      <c r="W24" s="13">
        <v>322</v>
      </c>
      <c r="X24" s="13">
        <v>373</v>
      </c>
      <c r="Y24" s="13">
        <v>408</v>
      </c>
      <c r="Z24" s="13">
        <v>449</v>
      </c>
      <c r="AB24" s="13">
        <v>390</v>
      </c>
      <c r="AC24" s="13">
        <v>425</v>
      </c>
      <c r="AD24" s="13">
        <v>440</v>
      </c>
      <c r="AE24" s="5">
        <v>471</v>
      </c>
      <c r="AG24" s="58">
        <f>AB24*(1+AG25)</f>
        <v>429.00000000000006</v>
      </c>
      <c r="AH24" s="58">
        <f>AC24*(1+AH25)</f>
        <v>467.50000000000006</v>
      </c>
      <c r="AI24" s="58">
        <f>AD24*(1+AI25)</f>
        <v>484.00000000000006</v>
      </c>
      <c r="AJ24" s="58">
        <f>AE24*(1+AJ25)</f>
        <v>518.1</v>
      </c>
    </row>
    <row r="25" spans="1:36" x14ac:dyDescent="0.25">
      <c r="A25" s="23" t="s">
        <v>23</v>
      </c>
      <c r="C25" s="10">
        <v>-1.4999999999999999E-2</v>
      </c>
      <c r="D25" s="10">
        <v>4.2000000000000003E-2</v>
      </c>
      <c r="E25" s="10">
        <v>0.29799999999999999</v>
      </c>
      <c r="F25" s="10">
        <v>0.309</v>
      </c>
      <c r="G25" s="4"/>
      <c r="H25" s="40">
        <f>H24/C24-1</f>
        <v>0.40909090909090917</v>
      </c>
      <c r="I25" s="40">
        <f t="shared" ref="I25" si="93">I24/D24-1</f>
        <v>0.30201342281879184</v>
      </c>
      <c r="J25" s="40">
        <f t="shared" ref="J25" si="94">J24/E24-1</f>
        <v>0.20238095238095233</v>
      </c>
      <c r="K25" s="40">
        <f t="shared" ref="K25" si="95">K24/F24-1</f>
        <v>0.19780219780219777</v>
      </c>
      <c r="L25" s="4"/>
      <c r="M25" s="40">
        <f>M24/H24-1</f>
        <v>0.10752688172043001</v>
      </c>
      <c r="N25" s="40">
        <f t="shared" ref="N25" si="96">N24/I24-1</f>
        <v>0.19587628865979378</v>
      </c>
      <c r="O25" s="40">
        <f t="shared" ref="O25" si="97">O24/J24-1</f>
        <v>0.23267326732673266</v>
      </c>
      <c r="P25" s="40">
        <f t="shared" ref="P25" si="98">P24/K24-1</f>
        <v>0.23394495412844041</v>
      </c>
      <c r="Q25" s="4"/>
      <c r="R25" s="40">
        <f>R24/M24-1</f>
        <v>0.18446601941747565</v>
      </c>
      <c r="S25" s="40">
        <f t="shared" ref="S25" si="99">S24/N24-1</f>
        <v>-2.155172413793105E-2</v>
      </c>
      <c r="T25" s="40">
        <f t="shared" ref="T25" si="100">T24/O24-1</f>
        <v>0.19277108433734935</v>
      </c>
      <c r="U25" s="40">
        <f t="shared" ref="U25" si="101">U24/P24-1</f>
        <v>0.21561338289962828</v>
      </c>
      <c r="V25" s="4"/>
      <c r="W25" s="40">
        <f>W24/R24-1</f>
        <v>0.31967213114754101</v>
      </c>
      <c r="X25" s="40">
        <f t="shared" ref="X25" si="102">X24/S24-1</f>
        <v>0.64317180616740077</v>
      </c>
      <c r="Y25" s="40">
        <f t="shared" ref="Y25" si="103">Y24/T24-1</f>
        <v>0.3737373737373737</v>
      </c>
      <c r="Z25" s="40">
        <f t="shared" ref="Z25" si="104">Z24/U24-1</f>
        <v>0.37308868501529058</v>
      </c>
      <c r="AB25" s="40">
        <f>AB24/W24-1</f>
        <v>0.21118012422360244</v>
      </c>
      <c r="AC25" s="40">
        <f t="shared" ref="AC25" si="105">AC24/X24-1</f>
        <v>0.13941018766756041</v>
      </c>
      <c r="AD25" s="40">
        <f t="shared" ref="AD25:AE25" si="106">AD24/Y24-1</f>
        <v>7.8431372549019551E-2</v>
      </c>
      <c r="AE25" s="40">
        <f t="shared" si="106"/>
        <v>4.8997772828507813E-2</v>
      </c>
      <c r="AG25" s="59">
        <v>0.1</v>
      </c>
      <c r="AH25" s="59">
        <v>0.1</v>
      </c>
      <c r="AI25" s="59">
        <v>0.1</v>
      </c>
      <c r="AJ25" s="59">
        <v>0.1</v>
      </c>
    </row>
    <row r="26" spans="1:36" x14ac:dyDescent="0.25">
      <c r="A26" s="22" t="s">
        <v>62</v>
      </c>
      <c r="C26" s="5">
        <f>C22+C24</f>
        <v>539</v>
      </c>
      <c r="D26" s="5">
        <f t="shared" ref="D26:F26" si="107">D22+D24</f>
        <v>583</v>
      </c>
      <c r="E26" s="5">
        <f t="shared" si="107"/>
        <v>634</v>
      </c>
      <c r="F26" s="5">
        <f t="shared" si="107"/>
        <v>671</v>
      </c>
      <c r="G26" s="4"/>
      <c r="H26" s="5">
        <f>H22+H24</f>
        <v>676</v>
      </c>
      <c r="I26" s="5">
        <f t="shared" ref="I26:K26" si="108">I22+I24</f>
        <v>700</v>
      </c>
      <c r="J26" s="5">
        <f t="shared" si="108"/>
        <v>698</v>
      </c>
      <c r="K26" s="5">
        <f t="shared" si="108"/>
        <v>737</v>
      </c>
      <c r="L26" s="4"/>
      <c r="M26" s="5">
        <f>M22+M24</f>
        <v>698</v>
      </c>
      <c r="N26" s="5">
        <f t="shared" ref="N26:P26" si="109">N22+N24</f>
        <v>752</v>
      </c>
      <c r="O26" s="5">
        <f t="shared" si="109"/>
        <v>785</v>
      </c>
      <c r="P26" s="5">
        <f t="shared" si="109"/>
        <v>826</v>
      </c>
      <c r="Q26" s="4"/>
      <c r="R26" s="5">
        <f>R22+R24</f>
        <v>731</v>
      </c>
      <c r="S26" s="5">
        <f t="shared" ref="S26:U26" si="110">S22+S24</f>
        <v>631</v>
      </c>
      <c r="T26" s="5">
        <f t="shared" si="110"/>
        <v>786</v>
      </c>
      <c r="U26" s="5">
        <f t="shared" si="110"/>
        <v>851</v>
      </c>
      <c r="V26" s="4"/>
      <c r="W26" s="5">
        <f>W22+W24</f>
        <v>819</v>
      </c>
      <c r="X26" s="5">
        <f t="shared" ref="X26:Z26" si="111">X22+X24</f>
        <v>920</v>
      </c>
      <c r="Y26" s="5">
        <f t="shared" si="111"/>
        <v>992</v>
      </c>
      <c r="Z26" s="5">
        <f t="shared" si="111"/>
        <v>1069</v>
      </c>
      <c r="AB26" s="5">
        <f>AB22+AB24</f>
        <v>959</v>
      </c>
      <c r="AC26" s="5">
        <f t="shared" ref="AC26:AD26" si="112">AC22+AC24</f>
        <v>1033</v>
      </c>
      <c r="AD26" s="5">
        <f t="shared" si="112"/>
        <v>1048</v>
      </c>
      <c r="AE26" s="371">
        <f>AE22+AE24</f>
        <v>1086</v>
      </c>
      <c r="AG26" s="9">
        <f>AG22+AG24</f>
        <v>1026.45</v>
      </c>
      <c r="AH26" s="9">
        <f>AH22+AH24</f>
        <v>1124.1400000000001</v>
      </c>
      <c r="AI26" s="9">
        <f>AI22+AI24</f>
        <v>1152.8000000000002</v>
      </c>
      <c r="AJ26" s="9">
        <f>AJ22+AJ24</f>
        <v>1182.3000000000002</v>
      </c>
    </row>
    <row r="27" spans="1:36" x14ac:dyDescent="0.25">
      <c r="A27" s="23" t="s">
        <v>23</v>
      </c>
      <c r="C27" s="10">
        <v>3.4000000000000002E-2</v>
      </c>
      <c r="D27" s="10">
        <v>3.6999999999999998E-2</v>
      </c>
      <c r="E27" s="10">
        <v>0.14099999999999999</v>
      </c>
      <c r="F27" s="10">
        <v>0.188</v>
      </c>
      <c r="G27" s="4"/>
      <c r="H27" s="40">
        <f>H26/C26-1</f>
        <v>0.25417439703153999</v>
      </c>
      <c r="I27" s="40">
        <f t="shared" ref="I27" si="113">I26/D26-1</f>
        <v>0.20068610634648376</v>
      </c>
      <c r="J27" s="40">
        <f t="shared" ref="J27" si="114">J26/E26-1</f>
        <v>0.10094637223974767</v>
      </c>
      <c r="K27" s="40">
        <f t="shared" ref="K27" si="115">K26/F26-1</f>
        <v>9.8360655737705027E-2</v>
      </c>
      <c r="L27" s="4"/>
      <c r="M27" s="40">
        <f>M26/H26-1</f>
        <v>3.2544378698224907E-2</v>
      </c>
      <c r="N27" s="40">
        <f t="shared" ref="N27" si="116">N26/I26-1</f>
        <v>7.4285714285714288E-2</v>
      </c>
      <c r="O27" s="40">
        <f t="shared" ref="O27" si="117">O26/J26-1</f>
        <v>0.12464183381088834</v>
      </c>
      <c r="P27" s="40">
        <f t="shared" ref="P27" si="118">P26/K26-1</f>
        <v>0.12075983717774763</v>
      </c>
      <c r="Q27" s="4"/>
      <c r="R27" s="40">
        <f>R26/M26-1</f>
        <v>4.7277936962750733E-2</v>
      </c>
      <c r="S27" s="40">
        <f t="shared" ref="S27" si="119">S26/N26-1</f>
        <v>-0.16090425531914898</v>
      </c>
      <c r="T27" s="40">
        <f t="shared" ref="T27" si="120">T26/O26-1</f>
        <v>1.2738853503184711E-3</v>
      </c>
      <c r="U27" s="40">
        <f t="shared" ref="U27" si="121">U26/P26-1</f>
        <v>3.0266343825665842E-2</v>
      </c>
      <c r="V27" s="4"/>
      <c r="W27" s="40">
        <f>W26/R26-1</f>
        <v>0.12038303693570462</v>
      </c>
      <c r="X27" s="40">
        <f t="shared" ref="X27" si="122">X26/S26-1</f>
        <v>0.45800316957210785</v>
      </c>
      <c r="Y27" s="40">
        <f t="shared" ref="Y27" si="123">Y26/T26-1</f>
        <v>0.2620865139949109</v>
      </c>
      <c r="Z27" s="40">
        <f t="shared" ref="Z27" si="124">Z26/U26-1</f>
        <v>0.25616921269095183</v>
      </c>
      <c r="AB27" s="40">
        <f>AB26/W26-1</f>
        <v>0.170940170940171</v>
      </c>
      <c r="AC27" s="40">
        <f t="shared" ref="AC27" si="125">AC26/X26-1</f>
        <v>0.12282608695652164</v>
      </c>
      <c r="AD27" s="40">
        <f t="shared" ref="AD27:AE27" si="126">AD26/Y26-1</f>
        <v>5.6451612903225756E-2</v>
      </c>
      <c r="AE27" s="40">
        <f t="shared" si="126"/>
        <v>1.5902712815715647E-2</v>
      </c>
      <c r="AG27" s="59">
        <f>AG26/AB26-1</f>
        <v>7.0333680917622488E-2</v>
      </c>
      <c r="AH27" s="59">
        <f>AH26/AC26-1</f>
        <v>8.8228460793804642E-2</v>
      </c>
      <c r="AI27" s="59">
        <f>AI26/AD26-1</f>
        <v>0.10000000000000009</v>
      </c>
      <c r="AJ27" s="59">
        <f>AJ26/AE26-1</f>
        <v>8.8674033149171327E-2</v>
      </c>
    </row>
    <row r="28" spans="1:36" x14ac:dyDescent="0.25">
      <c r="A28" s="24"/>
      <c r="C28" s="4"/>
      <c r="D28" s="4"/>
      <c r="E28" s="4"/>
      <c r="F28" s="4"/>
      <c r="G28" s="4"/>
      <c r="H28" s="4"/>
      <c r="I28" s="4"/>
      <c r="J28" s="4"/>
      <c r="K28" s="4"/>
      <c r="L28" s="4"/>
      <c r="M28" s="4"/>
      <c r="N28" s="4"/>
      <c r="O28" s="4"/>
      <c r="P28" s="4"/>
      <c r="Q28" s="4"/>
      <c r="R28" s="4"/>
      <c r="S28" s="4"/>
      <c r="T28" s="4"/>
      <c r="U28" s="4"/>
      <c r="V28" s="4"/>
      <c r="W28" s="4"/>
      <c r="X28" s="4"/>
      <c r="Y28" s="4"/>
      <c r="AE28" s="55"/>
      <c r="AG28" s="55"/>
      <c r="AH28" s="55"/>
      <c r="AI28" s="55"/>
      <c r="AJ28" s="55"/>
    </row>
    <row r="29" spans="1:36" x14ac:dyDescent="0.25">
      <c r="A29" s="33" t="s">
        <v>50</v>
      </c>
      <c r="C29" s="4"/>
      <c r="D29" s="4"/>
      <c r="E29" s="4"/>
      <c r="F29" s="4"/>
      <c r="G29" s="4"/>
      <c r="H29" s="4"/>
      <c r="I29" s="4"/>
      <c r="J29" s="4"/>
      <c r="K29" s="4"/>
      <c r="L29" s="4"/>
      <c r="M29" s="4"/>
      <c r="N29" s="4"/>
      <c r="O29" s="4"/>
      <c r="P29" s="4"/>
      <c r="Q29" s="4"/>
      <c r="R29" s="4"/>
      <c r="S29" s="4"/>
      <c r="T29" s="4"/>
      <c r="U29" s="4"/>
      <c r="V29" s="4"/>
      <c r="W29" s="4"/>
      <c r="X29" s="4"/>
      <c r="Y29" s="4"/>
      <c r="AE29" s="55"/>
      <c r="AG29" s="55"/>
      <c r="AH29" s="55"/>
      <c r="AI29" s="55"/>
      <c r="AJ29" s="55"/>
    </row>
    <row r="30" spans="1:36" x14ac:dyDescent="0.25">
      <c r="A30" s="22" t="s">
        <v>25</v>
      </c>
      <c r="C30" s="5">
        <f>C14+C22</f>
        <v>577</v>
      </c>
      <c r="D30" s="5">
        <f t="shared" ref="D30:F30" si="127">D14+D22</f>
        <v>621</v>
      </c>
      <c r="E30" s="5">
        <f t="shared" si="127"/>
        <v>654</v>
      </c>
      <c r="F30" s="5">
        <f t="shared" si="127"/>
        <v>687</v>
      </c>
      <c r="G30" s="4"/>
      <c r="H30" s="5">
        <f>H14+H22</f>
        <v>675</v>
      </c>
      <c r="I30" s="5">
        <f t="shared" ref="I30:K30" si="128">I14+I22</f>
        <v>708</v>
      </c>
      <c r="J30" s="5">
        <f t="shared" si="128"/>
        <v>701</v>
      </c>
      <c r="K30" s="5">
        <f t="shared" si="128"/>
        <v>738</v>
      </c>
      <c r="L30" s="4"/>
      <c r="M30" s="5">
        <f>M14+M22</f>
        <v>695</v>
      </c>
      <c r="N30" s="5">
        <f t="shared" ref="N30:P30" si="129">N14+N22</f>
        <v>748</v>
      </c>
      <c r="O30" s="5">
        <f t="shared" si="129"/>
        <v>771</v>
      </c>
      <c r="P30" s="5">
        <f t="shared" si="129"/>
        <v>801</v>
      </c>
      <c r="Q30" s="4"/>
      <c r="R30" s="5">
        <f>R14+R22</f>
        <v>704</v>
      </c>
      <c r="S30" s="5">
        <f t="shared" ref="S30:U30" si="130">S14+S22</f>
        <v>582</v>
      </c>
      <c r="T30" s="5">
        <f t="shared" si="130"/>
        <v>701</v>
      </c>
      <c r="U30" s="5">
        <f t="shared" si="130"/>
        <v>757</v>
      </c>
      <c r="V30" s="4"/>
      <c r="W30" s="5">
        <f>W14+W22</f>
        <v>718</v>
      </c>
      <c r="X30" s="5">
        <f t="shared" ref="X30:Z30" si="131">X14+X22</f>
        <v>816</v>
      </c>
      <c r="Y30" s="5">
        <f t="shared" si="131"/>
        <v>868</v>
      </c>
      <c r="Z30" s="5">
        <f t="shared" si="131"/>
        <v>930</v>
      </c>
      <c r="AB30" s="5">
        <f>AB14+AB22</f>
        <v>860</v>
      </c>
      <c r="AC30" s="5">
        <f t="shared" ref="AC30:AD30" si="132">AC14+AC22</f>
        <v>943</v>
      </c>
      <c r="AD30" s="5">
        <f t="shared" si="132"/>
        <v>950</v>
      </c>
      <c r="AE30" s="371">
        <f>AE14+AE22</f>
        <v>968</v>
      </c>
      <c r="AG30" s="9">
        <f>AG14+AG22</f>
        <v>894.27</v>
      </c>
      <c r="AH30" s="9">
        <f>AH14+AH22</f>
        <v>974.8900000000001</v>
      </c>
      <c r="AI30" s="9">
        <f>AI14+AI22</f>
        <v>997.12000000000012</v>
      </c>
      <c r="AJ30" s="9">
        <f>AJ14+AJ22</f>
        <v>1034.8500000000001</v>
      </c>
    </row>
    <row r="31" spans="1:36" x14ac:dyDescent="0.25">
      <c r="A31" s="23" t="s">
        <v>23</v>
      </c>
      <c r="C31" s="10">
        <v>4.9000000000000002E-2</v>
      </c>
      <c r="D31" s="10">
        <v>4.2000000000000003E-2</v>
      </c>
      <c r="E31" s="10">
        <v>0.09</v>
      </c>
      <c r="F31" s="10">
        <v>0.13400000000000001</v>
      </c>
      <c r="G31" s="4"/>
      <c r="H31" s="40">
        <f>H30/C30-1</f>
        <v>0.16984402079722694</v>
      </c>
      <c r="I31" s="40">
        <f t="shared" ref="I31" si="133">I30/D30-1</f>
        <v>0.14009661835748788</v>
      </c>
      <c r="J31" s="40">
        <f t="shared" ref="J31" si="134">J30/E30-1</f>
        <v>7.1865443425076503E-2</v>
      </c>
      <c r="K31" s="40">
        <f t="shared" ref="K31" si="135">K30/F30-1</f>
        <v>7.4235807860262071E-2</v>
      </c>
      <c r="L31" s="4"/>
      <c r="M31" s="40">
        <f>M30/H30-1</f>
        <v>2.9629629629629672E-2</v>
      </c>
      <c r="N31" s="40">
        <f t="shared" ref="N31" si="136">N30/I30-1</f>
        <v>5.6497175141242861E-2</v>
      </c>
      <c r="O31" s="40">
        <f t="shared" ref="O31" si="137">O30/J30-1</f>
        <v>9.9857346647646228E-2</v>
      </c>
      <c r="P31" s="40">
        <f t="shared" ref="P31" si="138">P30/K30-1</f>
        <v>8.5365853658536661E-2</v>
      </c>
      <c r="Q31" s="4"/>
      <c r="R31" s="40">
        <f>R30/M30-1</f>
        <v>1.2949640287769792E-2</v>
      </c>
      <c r="S31" s="40">
        <f t="shared" ref="S31" si="139">S30/N30-1</f>
        <v>-0.22192513368983957</v>
      </c>
      <c r="T31" s="40">
        <f t="shared" ref="T31" si="140">T30/O30-1</f>
        <v>-9.079118028534372E-2</v>
      </c>
      <c r="U31" s="40">
        <f t="shared" ref="U31" si="141">U30/P30-1</f>
        <v>-5.4931335830212258E-2</v>
      </c>
      <c r="V31" s="4"/>
      <c r="W31" s="40">
        <f>W30/R30-1</f>
        <v>1.9886363636363535E-2</v>
      </c>
      <c r="X31" s="40">
        <f t="shared" ref="X31" si="142">X30/S30-1</f>
        <v>0.402061855670103</v>
      </c>
      <c r="Y31" s="40">
        <f t="shared" ref="Y31" si="143">Y30/T30-1</f>
        <v>0.23823109843081314</v>
      </c>
      <c r="Z31" s="40">
        <f t="shared" ref="Z31" si="144">Z30/U30-1</f>
        <v>0.22853368560105691</v>
      </c>
      <c r="AB31" s="40">
        <f>AB30/W30-1</f>
        <v>0.19777158774373249</v>
      </c>
      <c r="AC31" s="40">
        <f t="shared" ref="AC31" si="145">AC30/X30-1</f>
        <v>0.15563725490196068</v>
      </c>
      <c r="AD31" s="40">
        <f t="shared" ref="AD31" si="146">AD30/Y30-1</f>
        <v>9.4470046082949288E-2</v>
      </c>
      <c r="AE31" s="372">
        <f>AE30/Z30-1</f>
        <v>4.086021505376336E-2</v>
      </c>
      <c r="AG31" s="59">
        <f>AG30/AB30-1</f>
        <v>3.9848837209302213E-2</v>
      </c>
      <c r="AH31" s="59">
        <f>AH30/AC30-1</f>
        <v>3.3817603393425433E-2</v>
      </c>
      <c r="AI31" s="59">
        <f>AI30/AD30-1</f>
        <v>4.9600000000000088E-2</v>
      </c>
      <c r="AJ31" s="59">
        <f>AJ30/AE30-1</f>
        <v>6.9059917355372091E-2</v>
      </c>
    </row>
    <row r="32" spans="1:36" x14ac:dyDescent="0.25">
      <c r="A32" s="22" t="s">
        <v>26</v>
      </c>
      <c r="C32" s="5">
        <f>C16+C24</f>
        <v>286</v>
      </c>
      <c r="D32" s="5">
        <f t="shared" ref="D32:F32" si="147">D16+D24</f>
        <v>309</v>
      </c>
      <c r="E32" s="5">
        <f t="shared" si="147"/>
        <v>328</v>
      </c>
      <c r="F32" s="5">
        <f t="shared" si="147"/>
        <v>350</v>
      </c>
      <c r="G32" s="4"/>
      <c r="H32" s="5">
        <f>H16+H24</f>
        <v>360</v>
      </c>
      <c r="I32" s="5">
        <f t="shared" ref="I32:K32" si="148">I16+I24</f>
        <v>376</v>
      </c>
      <c r="J32" s="5">
        <f t="shared" si="148"/>
        <v>382</v>
      </c>
      <c r="K32" s="5">
        <f t="shared" si="148"/>
        <v>407</v>
      </c>
      <c r="L32" s="4"/>
      <c r="M32" s="5">
        <f>M16+M24</f>
        <v>395</v>
      </c>
      <c r="N32" s="5">
        <f t="shared" ref="N32:P32" si="149">N16+N24</f>
        <v>431</v>
      </c>
      <c r="O32" s="5">
        <f t="shared" si="149"/>
        <v>448</v>
      </c>
      <c r="P32" s="5">
        <f t="shared" si="149"/>
        <v>474</v>
      </c>
      <c r="Q32" s="4"/>
      <c r="R32" s="5">
        <f>R16+R24</f>
        <v>446</v>
      </c>
      <c r="S32" s="5">
        <f t="shared" ref="S32:U32" si="150">S16+S24</f>
        <v>453</v>
      </c>
      <c r="T32" s="5">
        <f t="shared" si="150"/>
        <v>536</v>
      </c>
      <c r="U32" s="5">
        <f t="shared" si="150"/>
        <v>566</v>
      </c>
      <c r="V32" s="4"/>
      <c r="W32" s="5">
        <f>W16+W24</f>
        <v>579</v>
      </c>
      <c r="X32" s="5">
        <f t="shared" ref="X32:Z32" si="151">X16+X24</f>
        <v>655</v>
      </c>
      <c r="Y32" s="5">
        <f t="shared" si="151"/>
        <v>679</v>
      </c>
      <c r="Z32" s="5">
        <f t="shared" si="151"/>
        <v>731</v>
      </c>
      <c r="AB32" s="5">
        <f>AB16+AB24</f>
        <v>661</v>
      </c>
      <c r="AC32" s="5">
        <f t="shared" ref="AC32:AD32" si="152">AC16+AC24</f>
        <v>709</v>
      </c>
      <c r="AD32" s="5">
        <f t="shared" si="152"/>
        <v>719</v>
      </c>
      <c r="AE32" s="371">
        <f>AE16+AE24</f>
        <v>758</v>
      </c>
      <c r="AG32" s="9">
        <f>AG16+AG24</f>
        <v>701.35500000000002</v>
      </c>
      <c r="AH32" s="9">
        <f>AH16+AH24</f>
        <v>754.34</v>
      </c>
      <c r="AI32" s="9">
        <f>AI16+AI24</f>
        <v>757.42000000000007</v>
      </c>
      <c r="AJ32" s="9">
        <f>AJ16+AJ24</f>
        <v>813.71</v>
      </c>
    </row>
    <row r="33" spans="1:39" x14ac:dyDescent="0.25">
      <c r="A33" s="23" t="s">
        <v>23</v>
      </c>
      <c r="C33" s="10">
        <v>-7.0000000000000001E-3</v>
      </c>
      <c r="D33" s="10">
        <v>2.3E-2</v>
      </c>
      <c r="E33" s="10">
        <v>0.16400000000000001</v>
      </c>
      <c r="F33" s="10">
        <v>0.19900000000000001</v>
      </c>
      <c r="G33" s="4"/>
      <c r="H33" s="40">
        <f>H32/C32-1</f>
        <v>0.25874125874125875</v>
      </c>
      <c r="I33" s="40">
        <f t="shared" ref="I33" si="153">I32/D32-1</f>
        <v>0.21682847896440127</v>
      </c>
      <c r="J33" s="40">
        <f t="shared" ref="J33" si="154">J32/E32-1</f>
        <v>0.16463414634146334</v>
      </c>
      <c r="K33" s="40">
        <f t="shared" ref="K33" si="155">K32/F32-1</f>
        <v>0.16285714285714281</v>
      </c>
      <c r="L33" s="4"/>
      <c r="M33" s="40">
        <f>M32/H32-1</f>
        <v>9.7222222222222321E-2</v>
      </c>
      <c r="N33" s="40">
        <f t="shared" ref="N33" si="156">N32/I32-1</f>
        <v>0.14627659574468077</v>
      </c>
      <c r="O33" s="40">
        <f t="shared" ref="O33" si="157">O32/J32-1</f>
        <v>0.17277486910994755</v>
      </c>
      <c r="P33" s="40">
        <f t="shared" ref="P33" si="158">P32/K32-1</f>
        <v>0.16461916461916459</v>
      </c>
      <c r="Q33" s="4"/>
      <c r="R33" s="40">
        <f>R32/M32-1</f>
        <v>0.12911392405063293</v>
      </c>
      <c r="S33" s="40">
        <f t="shared" ref="S33" si="159">S32/N32-1</f>
        <v>5.1044083526682105E-2</v>
      </c>
      <c r="T33" s="40">
        <f t="shared" ref="T33" si="160">T32/O32-1</f>
        <v>0.1964285714285714</v>
      </c>
      <c r="U33" s="40">
        <f t="shared" ref="U33" si="161">U32/P32-1</f>
        <v>0.19409282700421948</v>
      </c>
      <c r="V33" s="4"/>
      <c r="W33" s="40">
        <f>W32/R32-1</f>
        <v>0.29820627802690591</v>
      </c>
      <c r="X33" s="40">
        <f t="shared" ref="X33" si="162">X32/S32-1</f>
        <v>0.44591611479028703</v>
      </c>
      <c r="Y33" s="40">
        <f t="shared" ref="Y33" si="163">Y32/T32-1</f>
        <v>0.26679104477611948</v>
      </c>
      <c r="Z33" s="40">
        <f t="shared" ref="Z33" si="164">Z32/U32-1</f>
        <v>0.29151943462897534</v>
      </c>
      <c r="AB33" s="40">
        <f>AB32/W32-1</f>
        <v>0.14162348877374775</v>
      </c>
      <c r="AC33" s="40">
        <f t="shared" ref="AC33" si="165">AC32/X32-1</f>
        <v>8.2442748091603013E-2</v>
      </c>
      <c r="AD33" s="40">
        <f t="shared" ref="AD33" si="166">AD32/Y32-1</f>
        <v>5.8910162002945521E-2</v>
      </c>
      <c r="AE33" s="372">
        <f>AE32/Z32-1</f>
        <v>3.6935704514363898E-2</v>
      </c>
      <c r="AG33" s="59">
        <f>AG32/AB32-1</f>
        <v>6.1051437216338877E-2</v>
      </c>
      <c r="AH33" s="59">
        <f>AH32/AC32-1</f>
        <v>6.3949224259520543E-2</v>
      </c>
      <c r="AI33" s="59">
        <f>AI32/AD32-1</f>
        <v>5.3435326842837361E-2</v>
      </c>
      <c r="AJ33" s="59">
        <f>AJ32/AE32-1</f>
        <v>7.3496042216358859E-2</v>
      </c>
    </row>
    <row r="34" spans="1:39" x14ac:dyDescent="0.25">
      <c r="A34" s="22" t="s">
        <v>28</v>
      </c>
      <c r="C34" s="5">
        <f>SUM(C30,C32)</f>
        <v>863</v>
      </c>
      <c r="D34" s="5">
        <f t="shared" ref="D34:F34" si="167">SUM(D30,D32)</f>
        <v>930</v>
      </c>
      <c r="E34" s="5">
        <f t="shared" si="167"/>
        <v>982</v>
      </c>
      <c r="F34" s="5">
        <f t="shared" si="167"/>
        <v>1037</v>
      </c>
      <c r="G34" s="4"/>
      <c r="H34" s="5">
        <f>SUM(H30,H32)</f>
        <v>1035</v>
      </c>
      <c r="I34" s="5">
        <f t="shared" ref="I34:K34" si="168">SUM(I30,I32)</f>
        <v>1084</v>
      </c>
      <c r="J34" s="5">
        <f t="shared" si="168"/>
        <v>1083</v>
      </c>
      <c r="K34" s="5">
        <f t="shared" si="168"/>
        <v>1145</v>
      </c>
      <c r="L34" s="4"/>
      <c r="M34" s="5">
        <f>SUM(M30,M32)</f>
        <v>1090</v>
      </c>
      <c r="N34" s="5">
        <f t="shared" ref="N34:P34" si="169">SUM(N30,N32)</f>
        <v>1179</v>
      </c>
      <c r="O34" s="5">
        <f t="shared" si="169"/>
        <v>1219</v>
      </c>
      <c r="P34" s="5">
        <f t="shared" si="169"/>
        <v>1275</v>
      </c>
      <c r="Q34" s="4"/>
      <c r="R34" s="5">
        <f>SUM(R30,R32)</f>
        <v>1150</v>
      </c>
      <c r="S34" s="5">
        <f t="shared" ref="S34:U34" si="170">SUM(S30,S32)</f>
        <v>1035</v>
      </c>
      <c r="T34" s="5">
        <f t="shared" si="170"/>
        <v>1237</v>
      </c>
      <c r="U34" s="5">
        <f t="shared" si="170"/>
        <v>1323</v>
      </c>
      <c r="V34" s="4"/>
      <c r="W34" s="5">
        <f>SUM(W30,W32)</f>
        <v>1297</v>
      </c>
      <c r="X34" s="5">
        <f t="shared" ref="X34:Z34" si="171">SUM(X30,X32)</f>
        <v>1471</v>
      </c>
      <c r="Y34" s="5">
        <f t="shared" si="171"/>
        <v>1547</v>
      </c>
      <c r="Z34" s="5">
        <f t="shared" si="171"/>
        <v>1661</v>
      </c>
      <c r="AB34" s="5">
        <f>SUM(AB30,AB32)</f>
        <v>1521</v>
      </c>
      <c r="AC34" s="5">
        <f t="shared" ref="AC34:AD34" si="172">SUM(AC30,AC32)</f>
        <v>1652</v>
      </c>
      <c r="AD34" s="5">
        <f t="shared" si="172"/>
        <v>1669</v>
      </c>
      <c r="AE34" s="371">
        <f>SUM(AE30,AE32)</f>
        <v>1726</v>
      </c>
      <c r="AG34" s="9">
        <f>SUM(AG30,AG32)</f>
        <v>1595.625</v>
      </c>
      <c r="AH34" s="9">
        <f>SUM(AH30,AH32)</f>
        <v>1729.23</v>
      </c>
      <c r="AI34" s="9">
        <f>SUM(AI30,AI32)</f>
        <v>1754.5400000000002</v>
      </c>
      <c r="AJ34" s="9">
        <f>SUM(AJ30,AJ32)</f>
        <v>1848.5600000000002</v>
      </c>
    </row>
    <row r="35" spans="1:39" x14ac:dyDescent="0.25">
      <c r="A35" s="4"/>
      <c r="C35" s="4"/>
      <c r="D35" s="4"/>
      <c r="E35" s="4"/>
      <c r="F35" s="4"/>
      <c r="G35" s="4"/>
      <c r="H35" s="4"/>
      <c r="I35" s="4"/>
      <c r="J35" s="4"/>
      <c r="K35" s="4"/>
      <c r="L35" s="4"/>
      <c r="M35" s="4"/>
      <c r="N35" s="4"/>
      <c r="O35" s="4"/>
      <c r="P35" s="4"/>
      <c r="Q35" s="4"/>
      <c r="R35" s="4"/>
      <c r="S35" s="4"/>
      <c r="T35" s="4"/>
      <c r="U35" s="4"/>
      <c r="V35" s="4"/>
      <c r="W35" s="4"/>
      <c r="X35" s="4"/>
      <c r="Y35" s="4"/>
      <c r="AE35" s="55"/>
    </row>
    <row r="36" spans="1:39" x14ac:dyDescent="0.25">
      <c r="A36" s="30" t="s">
        <v>87</v>
      </c>
      <c r="C36" s="4"/>
      <c r="D36" s="4"/>
      <c r="E36" s="4"/>
      <c r="F36" s="4"/>
      <c r="G36" s="4"/>
      <c r="H36" s="4"/>
      <c r="I36" s="4"/>
      <c r="J36" s="4"/>
      <c r="K36" s="4"/>
      <c r="L36" s="4"/>
      <c r="M36" s="4"/>
      <c r="N36" s="4"/>
      <c r="O36" s="4"/>
      <c r="P36" s="4"/>
      <c r="Q36" s="4"/>
      <c r="R36" s="4"/>
      <c r="S36" s="4"/>
      <c r="T36" s="4"/>
      <c r="U36" s="4"/>
      <c r="V36" s="4"/>
      <c r="W36" s="4"/>
      <c r="X36" s="4"/>
      <c r="Y36" s="4"/>
      <c r="AE36" s="55"/>
      <c r="AM36" t="s">
        <v>135</v>
      </c>
    </row>
    <row r="37" spans="1:39" x14ac:dyDescent="0.25">
      <c r="A37" s="26" t="s">
        <v>39</v>
      </c>
      <c r="C37" s="5">
        <v>916</v>
      </c>
      <c r="D37" s="5">
        <v>984</v>
      </c>
      <c r="E37" s="5">
        <v>1157</v>
      </c>
      <c r="F37" s="5">
        <v>1117</v>
      </c>
      <c r="G37" s="6"/>
      <c r="H37" s="5">
        <v>1157</v>
      </c>
      <c r="I37" s="5">
        <v>1198</v>
      </c>
      <c r="J37" s="5">
        <v>1338</v>
      </c>
      <c r="K37" s="5">
        <v>1261</v>
      </c>
      <c r="L37" s="6"/>
      <c r="M37" s="5">
        <v>1263</v>
      </c>
      <c r="N37" s="5">
        <v>1374</v>
      </c>
      <c r="O37" s="5">
        <v>1517</v>
      </c>
      <c r="P37" s="5">
        <v>1452</v>
      </c>
      <c r="Q37" s="6"/>
      <c r="R37" s="5">
        <v>1217</v>
      </c>
      <c r="S37" s="5">
        <v>637</v>
      </c>
      <c r="T37" s="5">
        <v>791</v>
      </c>
      <c r="U37" s="5">
        <v>867</v>
      </c>
      <c r="V37" s="6"/>
      <c r="W37" s="5">
        <v>932</v>
      </c>
      <c r="X37" s="5">
        <v>1076</v>
      </c>
      <c r="Y37" s="5">
        <v>1276</v>
      </c>
      <c r="Z37" s="5">
        <v>1380</v>
      </c>
      <c r="AA37" s="5">
        <f>SUM(W37:Z37)</f>
        <v>4664</v>
      </c>
      <c r="AB37" s="5">
        <v>1395</v>
      </c>
      <c r="AC37" s="5">
        <v>1615</v>
      </c>
      <c r="AD37" s="5">
        <v>1803</v>
      </c>
      <c r="AE37" s="5">
        <v>1795</v>
      </c>
      <c r="AF37" s="361">
        <f>SUM(AB37:AE37)</f>
        <v>6608</v>
      </c>
      <c r="AG37" s="9">
        <f>AB37*(1+AG40)</f>
        <v>1492.65</v>
      </c>
      <c r="AH37" s="9">
        <f t="shared" ref="AH37:AJ37" si="173">AC37*(1+AH40)</f>
        <v>1728.0500000000002</v>
      </c>
      <c r="AI37" s="9">
        <f t="shared" si="173"/>
        <v>1983.3000000000002</v>
      </c>
      <c r="AJ37" s="9">
        <f t="shared" si="173"/>
        <v>1920.65</v>
      </c>
    </row>
    <row r="38" spans="1:39" x14ac:dyDescent="0.25">
      <c r="A38" s="27" t="s">
        <v>23</v>
      </c>
      <c r="C38" s="7">
        <v>0.151</v>
      </c>
      <c r="D38" s="7">
        <v>0.13600000000000001</v>
      </c>
      <c r="E38" s="7">
        <v>0.16200000000000001</v>
      </c>
      <c r="F38" s="7">
        <v>0.22700000000000001</v>
      </c>
      <c r="G38" s="42"/>
      <c r="H38" s="7">
        <f>H37/C37-1</f>
        <v>0.26310043668122263</v>
      </c>
      <c r="I38" s="7">
        <f t="shared" ref="I38" si="174">I37/D37-1</f>
        <v>0.21747967479674801</v>
      </c>
      <c r="J38" s="7">
        <f t="shared" ref="J38" si="175">J37/E37-1</f>
        <v>0.15643906655142614</v>
      </c>
      <c r="K38" s="7">
        <f t="shared" ref="K38" si="176">K37/F37-1</f>
        <v>0.1289167412712624</v>
      </c>
      <c r="L38" s="42"/>
      <c r="M38" s="7">
        <f>M37/H37-1</f>
        <v>9.1616248919619725E-2</v>
      </c>
      <c r="N38" s="7">
        <f t="shared" ref="N38" si="177">N37/I37-1</f>
        <v>0.14691151919866452</v>
      </c>
      <c r="O38" s="7">
        <f t="shared" ref="O38" si="178">O37/J37-1</f>
        <v>0.13378176382660678</v>
      </c>
      <c r="P38" s="7">
        <f t="shared" ref="P38" si="179">P37/K37-1</f>
        <v>0.15146708961141941</v>
      </c>
      <c r="Q38" s="42"/>
      <c r="R38" s="7">
        <f>R37/M37-1</f>
        <v>-3.6421219319081599E-2</v>
      </c>
      <c r="S38" s="7">
        <f t="shared" ref="S38" si="180">S37/N37-1</f>
        <v>-0.53639010189228531</v>
      </c>
      <c r="T38" s="7">
        <f t="shared" ref="T38" si="181">T37/O37-1</f>
        <v>-0.47857613711272251</v>
      </c>
      <c r="U38" s="7">
        <f t="shared" ref="U38" si="182">U37/P37-1</f>
        <v>-0.40289256198347112</v>
      </c>
      <c r="V38" s="42"/>
      <c r="W38" s="7">
        <f>W37/R37-1</f>
        <v>-0.23418241577649956</v>
      </c>
      <c r="X38" s="7">
        <f t="shared" ref="X38" si="183">X37/S37-1</f>
        <v>0.68916797488226056</v>
      </c>
      <c r="Y38" s="7">
        <f t="shared" ref="Y38" si="184">Y37/T37-1</f>
        <v>0.61314791403286972</v>
      </c>
      <c r="Z38" s="7">
        <f t="shared" ref="Z38" si="185">Z37/U37-1</f>
        <v>0.59169550173010377</v>
      </c>
      <c r="AA38" s="41"/>
      <c r="AB38" s="7">
        <f>AB37/W37-1</f>
        <v>0.49678111587982832</v>
      </c>
      <c r="AC38" s="7">
        <f t="shared" ref="AC38" si="186">AC37/X37-1</f>
        <v>0.50092936802973975</v>
      </c>
      <c r="AD38" s="7">
        <f t="shared" ref="AD38" si="187">AD37/Y37-1</f>
        <v>0.4130094043887147</v>
      </c>
      <c r="AE38" s="7">
        <f>AE37/Z37-1</f>
        <v>0.30072463768115942</v>
      </c>
      <c r="AF38" s="7">
        <f>AF37/AA37-1</f>
        <v>0.41680960548885082</v>
      </c>
      <c r="AG38" s="59">
        <f>AG37/AB37-1</f>
        <v>7.0000000000000062E-2</v>
      </c>
      <c r="AH38" s="59">
        <f t="shared" ref="AH38:AJ38" si="188">AH37/AC37-1</f>
        <v>7.0000000000000062E-2</v>
      </c>
      <c r="AI38" s="59">
        <f t="shared" si="188"/>
        <v>0.10000000000000009</v>
      </c>
      <c r="AJ38" s="59">
        <f t="shared" si="188"/>
        <v>7.0000000000000062E-2</v>
      </c>
    </row>
    <row r="39" spans="1:39" x14ac:dyDescent="0.25">
      <c r="A39" s="27"/>
      <c r="C39" s="4"/>
      <c r="D39" s="4"/>
      <c r="E39" s="4"/>
      <c r="F39" s="4"/>
      <c r="G39" s="4"/>
      <c r="H39" s="4"/>
      <c r="I39" s="4"/>
      <c r="J39" s="4"/>
      <c r="K39" s="4"/>
      <c r="L39" s="4"/>
      <c r="M39" s="4"/>
      <c r="N39" s="4"/>
      <c r="O39" s="4"/>
      <c r="P39" s="4"/>
      <c r="Q39" s="4"/>
      <c r="R39" s="4"/>
      <c r="S39" s="4"/>
      <c r="T39" s="4"/>
      <c r="U39" s="4"/>
      <c r="V39" s="4"/>
      <c r="W39" s="19"/>
      <c r="X39" s="19"/>
      <c r="Y39" s="19"/>
      <c r="AB39" s="86"/>
      <c r="AE39" s="55"/>
      <c r="AG39" s="87">
        <v>0.1</v>
      </c>
      <c r="AH39" s="87">
        <v>0.05</v>
      </c>
      <c r="AI39" s="87">
        <v>7.0000000000000007E-2</v>
      </c>
      <c r="AJ39" s="87">
        <v>7.4999999999999997E-2</v>
      </c>
    </row>
    <row r="40" spans="1:39" x14ac:dyDescent="0.25">
      <c r="A40" s="26" t="s">
        <v>40</v>
      </c>
      <c r="C40" s="20">
        <v>0.17</v>
      </c>
      <c r="D40" s="20">
        <v>0.16</v>
      </c>
      <c r="E40" s="20">
        <v>0.15</v>
      </c>
      <c r="F40" s="20">
        <v>0.19</v>
      </c>
      <c r="G40" s="4"/>
      <c r="H40" s="20">
        <v>0.19</v>
      </c>
      <c r="I40" s="20">
        <v>0.18</v>
      </c>
      <c r="J40" s="20">
        <v>0.18</v>
      </c>
      <c r="K40" s="20">
        <v>0.16</v>
      </c>
      <c r="L40" s="4"/>
      <c r="M40" s="20">
        <v>7.0000000000000007E-2</v>
      </c>
      <c r="N40" s="20">
        <v>0.1</v>
      </c>
      <c r="O40" s="21">
        <v>0.13</v>
      </c>
      <c r="P40" s="21">
        <v>0.14000000000000001</v>
      </c>
      <c r="Q40" s="4"/>
      <c r="R40" s="21">
        <v>-0.03</v>
      </c>
      <c r="S40" s="20">
        <v>-0.47</v>
      </c>
      <c r="T40" s="20">
        <v>-0.35</v>
      </c>
      <c r="U40" s="20">
        <v>-0.27</v>
      </c>
      <c r="V40" s="4"/>
      <c r="W40" s="21">
        <v>-0.13</v>
      </c>
      <c r="X40" s="20">
        <v>0.7</v>
      </c>
      <c r="Y40" s="21">
        <v>0.54</v>
      </c>
      <c r="Z40" s="20">
        <v>0.5</v>
      </c>
      <c r="AA40" s="21"/>
      <c r="AB40" s="20">
        <v>0.45</v>
      </c>
      <c r="AC40" s="21">
        <v>0.46</v>
      </c>
      <c r="AD40" s="20">
        <v>0.28999999999999998</v>
      </c>
      <c r="AE40" s="20">
        <v>0.2</v>
      </c>
      <c r="AF40" s="55"/>
      <c r="AG40" s="85">
        <v>7.0000000000000007E-2</v>
      </c>
      <c r="AH40" s="85">
        <v>7.0000000000000007E-2</v>
      </c>
      <c r="AI40" s="85">
        <v>0.1</v>
      </c>
      <c r="AJ40" s="85">
        <v>7.0000000000000007E-2</v>
      </c>
      <c r="AM40" t="s">
        <v>129</v>
      </c>
    </row>
    <row r="41" spans="1:39" x14ac:dyDescent="0.25">
      <c r="A41" s="24" t="s">
        <v>85</v>
      </c>
      <c r="C41" s="10">
        <v>0.128</v>
      </c>
      <c r="D41" s="10">
        <v>0.13600000000000001</v>
      </c>
      <c r="E41" s="10">
        <v>0.151</v>
      </c>
      <c r="F41" s="10">
        <v>0.16600000000000001</v>
      </c>
      <c r="G41" s="4"/>
      <c r="H41" s="10">
        <v>0.21</v>
      </c>
      <c r="I41" s="10">
        <v>0.19400000000000001</v>
      </c>
      <c r="J41" s="10">
        <v>0.17</v>
      </c>
      <c r="K41" s="10">
        <v>0.184</v>
      </c>
      <c r="L41" s="4"/>
      <c r="M41" s="10">
        <v>0.14000000000000001</v>
      </c>
      <c r="N41" s="10">
        <v>0.16</v>
      </c>
      <c r="O41" s="10">
        <v>0.16</v>
      </c>
      <c r="P41" s="10">
        <v>0.16</v>
      </c>
      <c r="Q41" s="4"/>
      <c r="R41" s="10">
        <v>-0.01</v>
      </c>
      <c r="S41" s="10">
        <v>-0.45</v>
      </c>
      <c r="T41" s="10">
        <v>-0.36</v>
      </c>
      <c r="U41" s="10">
        <v>-0.28999999999999998</v>
      </c>
      <c r="V41" s="4"/>
      <c r="W41" s="10">
        <v>-0.17</v>
      </c>
      <c r="X41" s="10">
        <v>0.57999999999999996</v>
      </c>
      <c r="Y41" s="10">
        <v>0.52</v>
      </c>
      <c r="Z41" s="10">
        <v>0.53</v>
      </c>
      <c r="AA41" s="10"/>
      <c r="AB41" s="10">
        <v>0.53</v>
      </c>
      <c r="AC41" s="10">
        <v>0.57999999999999996</v>
      </c>
      <c r="AD41" s="10">
        <v>0.44</v>
      </c>
      <c r="AE41" s="10">
        <v>0.31</v>
      </c>
      <c r="AF41" s="55"/>
      <c r="AG41" s="60">
        <f>AG40+AG42</f>
        <v>0.13</v>
      </c>
      <c r="AH41" s="60">
        <f>AH40+AH42</f>
        <v>0.12000000000000001</v>
      </c>
      <c r="AI41" s="60">
        <f>AI40+AI42</f>
        <v>0.15000000000000002</v>
      </c>
      <c r="AJ41" s="60">
        <f>AJ40+AJ42</f>
        <v>9.0000000000000011E-2</v>
      </c>
      <c r="AM41" t="s">
        <v>128</v>
      </c>
    </row>
    <row r="42" spans="1:39" x14ac:dyDescent="0.25">
      <c r="A42" s="24" t="s">
        <v>41</v>
      </c>
      <c r="C42" s="10">
        <f>C41-C40</f>
        <v>-4.200000000000001E-2</v>
      </c>
      <c r="D42" s="10">
        <f t="shared" ref="D42:F42" si="189">D41-D40</f>
        <v>-2.3999999999999994E-2</v>
      </c>
      <c r="E42" s="10">
        <f t="shared" si="189"/>
        <v>1.0000000000000009E-3</v>
      </c>
      <c r="F42" s="10">
        <f t="shared" si="189"/>
        <v>-2.3999999999999994E-2</v>
      </c>
      <c r="G42" s="4"/>
      <c r="H42" s="10">
        <f>H41-H40</f>
        <v>1.999999999999999E-2</v>
      </c>
      <c r="I42" s="10">
        <f t="shared" ref="I42" si="190">I41-I40</f>
        <v>1.4000000000000012E-2</v>
      </c>
      <c r="J42" s="10">
        <f t="shared" ref="J42" si="191">J41-J40</f>
        <v>-9.9999999999999811E-3</v>
      </c>
      <c r="K42" s="10">
        <f t="shared" ref="K42" si="192">K41-K40</f>
        <v>2.3999999999999994E-2</v>
      </c>
      <c r="L42" s="4"/>
      <c r="M42" s="10">
        <f>M41-M40</f>
        <v>7.0000000000000007E-2</v>
      </c>
      <c r="N42" s="10">
        <f t="shared" ref="N42" si="193">N41-N40</f>
        <v>0.06</v>
      </c>
      <c r="O42" s="10">
        <f t="shared" ref="O42" si="194">O41-O40</f>
        <v>0.03</v>
      </c>
      <c r="P42" s="10">
        <f t="shared" ref="P42" si="195">P41-P40</f>
        <v>1.999999999999999E-2</v>
      </c>
      <c r="Q42" s="6"/>
      <c r="R42" s="10">
        <f>R41-R40</f>
        <v>1.9999999999999997E-2</v>
      </c>
      <c r="S42" s="10">
        <f t="shared" ref="S42" si="196">S41-S40</f>
        <v>1.9999999999999962E-2</v>
      </c>
      <c r="T42" s="10">
        <f t="shared" ref="T42" si="197">T41-T40</f>
        <v>-1.0000000000000009E-2</v>
      </c>
      <c r="U42" s="10">
        <f t="shared" ref="U42" si="198">U41-U40</f>
        <v>-1.9999999999999962E-2</v>
      </c>
      <c r="V42" s="6"/>
      <c r="W42" s="10">
        <f>W41-W40</f>
        <v>-4.0000000000000008E-2</v>
      </c>
      <c r="X42" s="10">
        <f t="shared" ref="X42" si="199">X41-X40</f>
        <v>-0.12</v>
      </c>
      <c r="Y42" s="10">
        <f t="shared" ref="Y42" si="200">Y41-Y40</f>
        <v>-2.0000000000000018E-2</v>
      </c>
      <c r="Z42" s="10">
        <f t="shared" ref="Z42" si="201">Z41-Z40</f>
        <v>3.0000000000000027E-2</v>
      </c>
      <c r="AA42" s="10"/>
      <c r="AB42" s="10">
        <f>AB41-AB40</f>
        <v>8.0000000000000016E-2</v>
      </c>
      <c r="AC42" s="10">
        <f t="shared" ref="AC42" si="202">AC41-AC40</f>
        <v>0.11999999999999994</v>
      </c>
      <c r="AD42" s="10">
        <f t="shared" ref="AD42:AE42" si="203">AD41-AD40</f>
        <v>0.15000000000000002</v>
      </c>
      <c r="AE42" s="10">
        <f t="shared" si="203"/>
        <v>0.10999999999999999</v>
      </c>
      <c r="AF42" s="55"/>
      <c r="AG42" s="60">
        <v>0.06</v>
      </c>
      <c r="AH42" s="60">
        <v>0.05</v>
      </c>
      <c r="AI42" s="60">
        <v>0.05</v>
      </c>
      <c r="AJ42" s="60">
        <v>0.02</v>
      </c>
    </row>
    <row r="43" spans="1:39" x14ac:dyDescent="0.25">
      <c r="A43" s="24" t="s">
        <v>42</v>
      </c>
      <c r="C43" s="10">
        <v>2.3E-2</v>
      </c>
      <c r="D43" s="10">
        <v>0</v>
      </c>
      <c r="E43" s="10">
        <v>1.0999999999999999E-2</v>
      </c>
      <c r="F43" s="10">
        <v>6.0999999999999999E-2</v>
      </c>
      <c r="G43" s="4"/>
      <c r="H43" s="10">
        <f>(H37-C37*(1+H40))/C37</f>
        <v>7.310043668122275E-2</v>
      </c>
      <c r="I43" s="10">
        <f t="shared" ref="I43:AE43" si="204">(I37-D37*(1+I40))/D37</f>
        <v>3.7479674796748082E-2</v>
      </c>
      <c r="J43" s="10">
        <f t="shared" si="204"/>
        <v>-2.3560933448573889E-2</v>
      </c>
      <c r="K43" s="10">
        <f t="shared" si="204"/>
        <v>-3.108325872873751E-2</v>
      </c>
      <c r="L43" s="10"/>
      <c r="M43" s="10">
        <f t="shared" si="204"/>
        <v>2.1616248919619697E-2</v>
      </c>
      <c r="N43" s="10">
        <f t="shared" si="204"/>
        <v>4.6911519198664292E-2</v>
      </c>
      <c r="O43" s="10">
        <f t="shared" si="204"/>
        <v>3.7817638266070051E-3</v>
      </c>
      <c r="P43" s="10">
        <f t="shared" si="204"/>
        <v>1.1467089611419358E-2</v>
      </c>
      <c r="Q43" s="10"/>
      <c r="R43" s="10">
        <f t="shared" si="204"/>
        <v>-6.4212193190814728E-3</v>
      </c>
      <c r="S43" s="10">
        <f t="shared" si="204"/>
        <v>-6.6390101892285322E-2</v>
      </c>
      <c r="T43" s="10">
        <f t="shared" si="204"/>
        <v>-0.12857613711272253</v>
      </c>
      <c r="U43" s="10">
        <f t="shared" si="204"/>
        <v>-0.1328925619834711</v>
      </c>
      <c r="V43" s="10"/>
      <c r="W43" s="10">
        <f t="shared" si="204"/>
        <v>-0.10418241577649956</v>
      </c>
      <c r="X43" s="10">
        <f t="shared" si="204"/>
        <v>-1.0832025117739189E-2</v>
      </c>
      <c r="Y43" s="10">
        <f t="shared" si="204"/>
        <v>7.314791403286966E-2</v>
      </c>
      <c r="Z43" s="10">
        <f t="shared" si="204"/>
        <v>9.1695501730103809E-2</v>
      </c>
      <c r="AA43" s="10"/>
      <c r="AB43" s="10">
        <f t="shared" si="204"/>
        <v>4.6781115879828472E-2</v>
      </c>
      <c r="AC43" s="10">
        <f t="shared" si="204"/>
        <v>4.0929368029739746E-2</v>
      </c>
      <c r="AD43" s="10">
        <f t="shared" si="204"/>
        <v>0.12300940438871476</v>
      </c>
      <c r="AE43" s="10">
        <f t="shared" si="204"/>
        <v>0.10072463768115943</v>
      </c>
      <c r="AF43" s="55"/>
      <c r="AG43" s="60">
        <f t="shared" ref="AG43" si="205">(AG37-AB37*(1+AG40))/AB37</f>
        <v>0</v>
      </c>
      <c r="AH43" s="60">
        <f t="shared" ref="AH43" si="206">(AH37-AC37*(1+AH40))/AC37</f>
        <v>0</v>
      </c>
      <c r="AI43" s="60">
        <f t="shared" ref="AI43" si="207">(AI37-AD37*(1+AI40))/AD37</f>
        <v>0</v>
      </c>
      <c r="AJ43" s="60">
        <f t="shared" ref="AJ43" si="208">(AJ37-AE37*(1+AJ40))/AE37</f>
        <v>0</v>
      </c>
    </row>
    <row r="44" spans="1:39" x14ac:dyDescent="0.25">
      <c r="A44" s="24"/>
      <c r="C44" s="4"/>
      <c r="D44" s="4"/>
      <c r="E44" s="4"/>
      <c r="F44" s="4"/>
      <c r="G44" s="4"/>
      <c r="H44" s="4"/>
      <c r="I44" s="4"/>
      <c r="J44" s="4"/>
      <c r="K44" s="4"/>
      <c r="L44" s="4"/>
      <c r="M44" s="4"/>
      <c r="N44" s="4"/>
      <c r="O44" s="4"/>
      <c r="P44" s="4"/>
      <c r="Q44" s="4"/>
      <c r="R44" s="4"/>
      <c r="S44" s="4"/>
      <c r="T44" s="4"/>
      <c r="U44" s="4"/>
      <c r="V44" s="10"/>
      <c r="W44" s="10"/>
      <c r="X44" s="10"/>
      <c r="Y44" s="4"/>
      <c r="AE44" s="55"/>
    </row>
    <row r="45" spans="1:39" x14ac:dyDescent="0.25">
      <c r="A45" s="30" t="s">
        <v>64</v>
      </c>
      <c r="C45" s="4"/>
      <c r="D45" s="4"/>
      <c r="E45" s="4"/>
      <c r="F45" s="4"/>
      <c r="G45" s="4"/>
      <c r="H45" s="4"/>
      <c r="I45" s="4"/>
      <c r="J45" s="4"/>
      <c r="K45" s="4"/>
      <c r="L45" s="4"/>
      <c r="M45" s="4"/>
      <c r="N45" s="4"/>
      <c r="O45" s="4"/>
      <c r="P45" s="4"/>
      <c r="Q45" s="4"/>
      <c r="R45" s="4"/>
      <c r="S45" s="4"/>
      <c r="T45" s="4"/>
      <c r="U45" s="4"/>
      <c r="V45" s="4"/>
      <c r="W45" s="4"/>
      <c r="X45" s="4"/>
      <c r="Y45" s="4"/>
      <c r="AE45" s="55"/>
    </row>
    <row r="46" spans="1:39" x14ac:dyDescent="0.25">
      <c r="A46" s="22" t="s">
        <v>34</v>
      </c>
      <c r="C46" s="5">
        <v>1347</v>
      </c>
      <c r="D46" s="5">
        <v>1496</v>
      </c>
      <c r="E46" s="5">
        <v>1662</v>
      </c>
      <c r="F46" s="5">
        <v>1683</v>
      </c>
      <c r="G46" s="6"/>
      <c r="H46" s="5">
        <v>1707</v>
      </c>
      <c r="I46" s="5">
        <v>1830</v>
      </c>
      <c r="J46" s="5">
        <v>1912</v>
      </c>
      <c r="K46" s="5">
        <v>1942</v>
      </c>
      <c r="L46" s="6"/>
      <c r="M46" s="5">
        <v>1922</v>
      </c>
      <c r="N46" s="5">
        <v>2053</v>
      </c>
      <c r="O46" s="5">
        <v>2231</v>
      </c>
      <c r="P46" s="5">
        <v>2263</v>
      </c>
      <c r="Q46" s="6"/>
      <c r="R46" s="5">
        <v>2200</v>
      </c>
      <c r="S46" s="5">
        <v>1901</v>
      </c>
      <c r="T46" s="5">
        <v>2251</v>
      </c>
      <c r="U46" s="5">
        <v>2379</v>
      </c>
      <c r="V46" s="6"/>
      <c r="W46" s="5">
        <v>2351</v>
      </c>
      <c r="X46" s="5">
        <v>2612</v>
      </c>
      <c r="Y46" s="5">
        <v>2849</v>
      </c>
      <c r="Z46" s="5">
        <v>2987</v>
      </c>
      <c r="AB46" s="5">
        <v>2912</v>
      </c>
      <c r="AC46" s="5">
        <v>3061</v>
      </c>
      <c r="AD46" s="5">
        <v>3288</v>
      </c>
      <c r="AE46" s="5">
        <v>3334</v>
      </c>
      <c r="AF46" s="55"/>
      <c r="AG46" s="9">
        <f>AG52*AG55*AG57</f>
        <v>2939.6428599999999</v>
      </c>
      <c r="AH46" s="9">
        <f t="shared" ref="AH46:AJ46" si="209">AH52*AH55*AH57</f>
        <v>3162.2967300000005</v>
      </c>
      <c r="AI46" s="9">
        <f t="shared" si="209"/>
        <v>3394.3263999999999</v>
      </c>
      <c r="AJ46" s="9">
        <f t="shared" si="209"/>
        <v>3521.0726394999992</v>
      </c>
      <c r="AM46" t="s">
        <v>134</v>
      </c>
    </row>
    <row r="47" spans="1:39" x14ac:dyDescent="0.25">
      <c r="A47" s="23" t="s">
        <v>23</v>
      </c>
      <c r="C47" s="7">
        <v>0.156</v>
      </c>
      <c r="D47" s="7">
        <v>0.17699999999999999</v>
      </c>
      <c r="E47" s="7">
        <v>0.22500000000000001</v>
      </c>
      <c r="F47" s="7">
        <v>0.247</v>
      </c>
      <c r="G47" s="42"/>
      <c r="H47" s="7">
        <f>H46/C46-1</f>
        <v>0.26726057906458789</v>
      </c>
      <c r="I47" s="7">
        <f t="shared" ref="I47:K47" si="210">I46/D46-1</f>
        <v>0.22326203208556139</v>
      </c>
      <c r="J47" s="7">
        <f t="shared" si="210"/>
        <v>0.15042117930204579</v>
      </c>
      <c r="K47" s="7">
        <f t="shared" si="210"/>
        <v>0.15389185977421271</v>
      </c>
      <c r="L47" s="42"/>
      <c r="M47" s="7">
        <f>M46/H46-1</f>
        <v>0.12595196250732288</v>
      </c>
      <c r="N47" s="7">
        <f t="shared" ref="N47" si="211">N46/I46-1</f>
        <v>0.12185792349726765</v>
      </c>
      <c r="O47" s="7">
        <f t="shared" ref="O47" si="212">O46/J46-1</f>
        <v>0.16684100418410042</v>
      </c>
      <c r="P47" s="7">
        <f t="shared" ref="P47" si="213">P46/K46-1</f>
        <v>0.16529351184346042</v>
      </c>
      <c r="Q47" s="42"/>
      <c r="R47" s="7">
        <f>R46/M46-1</f>
        <v>0.14464099895941729</v>
      </c>
      <c r="S47" s="7">
        <f t="shared" ref="S47" si="214">S46/N46-1</f>
        <v>-7.4037993180711137E-2</v>
      </c>
      <c r="T47" s="7">
        <f t="shared" ref="T47" si="215">T46/O46-1</f>
        <v>8.964589870013473E-3</v>
      </c>
      <c r="U47" s="7">
        <f t="shared" ref="U47" si="216">U46/P46-1</f>
        <v>5.1259390190013354E-2</v>
      </c>
      <c r="V47" s="42"/>
      <c r="W47" s="7">
        <f>W46/R46-1</f>
        <v>6.8636363636363606E-2</v>
      </c>
      <c r="X47" s="7">
        <f t="shared" ref="X47" si="217">X46/S46-1</f>
        <v>0.37401367701209898</v>
      </c>
      <c r="Y47" s="7">
        <f t="shared" ref="Y47" si="218">Y46/T46-1</f>
        <v>0.26565970679697903</v>
      </c>
      <c r="Z47" s="7">
        <f t="shared" ref="Z47" si="219">Z46/U46-1</f>
        <v>0.25556956704497691</v>
      </c>
      <c r="AA47" s="41"/>
      <c r="AB47" s="7">
        <f>AB46/W46-1</f>
        <v>0.23862186303700561</v>
      </c>
      <c r="AC47" s="7">
        <f t="shared" ref="AC47" si="220">AC46/X46-1</f>
        <v>0.17189892802450224</v>
      </c>
      <c r="AD47" s="7">
        <f t="shared" ref="AD47" si="221">AD46/Y46-1</f>
        <v>0.15408915408915402</v>
      </c>
      <c r="AE47" s="7">
        <f>AE46/Z46-1</f>
        <v>0.11617007030465354</v>
      </c>
      <c r="AF47" s="55"/>
      <c r="AG47" s="59">
        <f>AG46/AB46-1</f>
        <v>9.4927403846154501E-3</v>
      </c>
      <c r="AH47" s="59">
        <f t="shared" ref="AH47" si="222">AH46/AC46-1</f>
        <v>3.3092691930741713E-2</v>
      </c>
      <c r="AI47" s="59">
        <f t="shared" ref="AI47" si="223">AI46/AD46-1</f>
        <v>3.2337712895377013E-2</v>
      </c>
      <c r="AJ47" s="59">
        <f t="shared" ref="AJ47" si="224">AJ46/AE46-1</f>
        <v>5.6110569736052662E-2</v>
      </c>
    </row>
    <row r="48" spans="1:39" x14ac:dyDescent="0.25">
      <c r="A48" s="23"/>
      <c r="C48" s="4"/>
      <c r="D48" s="4"/>
      <c r="E48" s="4"/>
      <c r="F48" s="4"/>
      <c r="G48" s="4"/>
      <c r="H48" s="4"/>
      <c r="I48" s="4"/>
      <c r="J48" s="4"/>
      <c r="K48" s="4"/>
      <c r="L48" s="4"/>
      <c r="M48" s="4"/>
      <c r="N48" s="4"/>
      <c r="O48" s="4"/>
      <c r="P48" s="4"/>
      <c r="Q48" s="4"/>
      <c r="R48" s="4"/>
      <c r="S48" s="4"/>
      <c r="T48" s="4"/>
      <c r="U48" s="4"/>
      <c r="V48" s="4"/>
      <c r="W48" s="12"/>
      <c r="X48" s="12"/>
      <c r="Y48" s="12"/>
      <c r="AF48" s="55"/>
      <c r="AG48" s="55"/>
      <c r="AH48" s="55"/>
      <c r="AI48" s="55"/>
      <c r="AJ48" s="55"/>
    </row>
    <row r="49" spans="1:36" x14ac:dyDescent="0.25">
      <c r="A49" s="22" t="s">
        <v>66</v>
      </c>
      <c r="C49" s="16">
        <v>14700</v>
      </c>
      <c r="D49" s="16">
        <v>16014</v>
      </c>
      <c r="E49" s="16">
        <v>16851</v>
      </c>
      <c r="F49" s="16">
        <v>17739</v>
      </c>
      <c r="G49" s="4"/>
      <c r="H49" s="16">
        <v>16681</v>
      </c>
      <c r="I49" s="16">
        <v>18161</v>
      </c>
      <c r="J49" s="16">
        <v>18825</v>
      </c>
      <c r="K49" s="16">
        <v>20124</v>
      </c>
      <c r="L49" s="4"/>
      <c r="M49" s="16">
        <v>19205</v>
      </c>
      <c r="N49" s="16">
        <v>21429</v>
      </c>
      <c r="O49" s="16">
        <v>22891</v>
      </c>
      <c r="P49" s="16">
        <v>23807</v>
      </c>
      <c r="Q49" s="4"/>
      <c r="R49" s="16">
        <v>22132</v>
      </c>
      <c r="S49" s="16">
        <v>19369</v>
      </c>
      <c r="T49" s="16">
        <v>23807</v>
      </c>
      <c r="U49" s="16">
        <v>24756</v>
      </c>
      <c r="V49" s="4"/>
      <c r="W49" s="16">
        <v>23772</v>
      </c>
      <c r="X49" s="16">
        <v>27228</v>
      </c>
      <c r="Y49" s="44">
        <v>29718</v>
      </c>
      <c r="Z49" s="16">
        <v>31371</v>
      </c>
      <c r="AB49" s="16">
        <v>28958</v>
      </c>
      <c r="AC49" s="16">
        <v>30411</v>
      </c>
      <c r="AD49" s="16">
        <v>32352</v>
      </c>
      <c r="AE49" s="16">
        <v>33959</v>
      </c>
      <c r="AF49" s="55"/>
      <c r="AG49" s="61">
        <f>AG52*AG55</f>
        <v>29396.428599999999</v>
      </c>
      <c r="AH49" s="61">
        <f t="shared" ref="AH49:AJ49" si="225">AH52*AH55</f>
        <v>31622.967300000004</v>
      </c>
      <c r="AI49" s="61">
        <f t="shared" si="225"/>
        <v>33943.263999999996</v>
      </c>
      <c r="AJ49" s="61">
        <f t="shared" si="225"/>
        <v>35210.726394999991</v>
      </c>
    </row>
    <row r="50" spans="1:36" x14ac:dyDescent="0.25">
      <c r="A50" s="23" t="s">
        <v>23</v>
      </c>
      <c r="C50" s="7">
        <v>0.16700000000000001</v>
      </c>
      <c r="D50" s="7">
        <v>0.17</v>
      </c>
      <c r="E50" s="7">
        <v>0.16600000000000001</v>
      </c>
      <c r="F50" s="7">
        <v>0.16700000000000001</v>
      </c>
      <c r="G50" s="42"/>
      <c r="H50" s="7">
        <f>H49/C49-1</f>
        <v>0.13476190476190486</v>
      </c>
      <c r="I50" s="7">
        <f t="shared" ref="I50:Z50" si="226">I49/D49-1</f>
        <v>0.1340701885849882</v>
      </c>
      <c r="J50" s="7">
        <f t="shared" si="226"/>
        <v>0.11714438312266329</v>
      </c>
      <c r="K50" s="7">
        <f t="shared" si="226"/>
        <v>0.13444951801116178</v>
      </c>
      <c r="L50" s="7"/>
      <c r="M50" s="7">
        <f t="shared" si="226"/>
        <v>0.15130987350878256</v>
      </c>
      <c r="N50" s="7">
        <f t="shared" si="226"/>
        <v>0.17994603821375477</v>
      </c>
      <c r="O50" s="7">
        <f t="shared" si="226"/>
        <v>0.21598937583001332</v>
      </c>
      <c r="P50" s="7">
        <f t="shared" si="226"/>
        <v>0.18301530510832831</v>
      </c>
      <c r="Q50" s="7"/>
      <c r="R50" s="7">
        <f t="shared" si="226"/>
        <v>0.15240822702421242</v>
      </c>
      <c r="S50" s="7">
        <f t="shared" si="226"/>
        <v>-9.6131410705119213E-2</v>
      </c>
      <c r="T50" s="7">
        <f t="shared" si="226"/>
        <v>4.0015726704818455E-2</v>
      </c>
      <c r="U50" s="7">
        <f t="shared" si="226"/>
        <v>3.9862225395892015E-2</v>
      </c>
      <c r="V50" s="7"/>
      <c r="W50" s="7">
        <f t="shared" si="226"/>
        <v>7.4100849448762052E-2</v>
      </c>
      <c r="X50" s="7">
        <f t="shared" si="226"/>
        <v>0.40575145851618566</v>
      </c>
      <c r="Y50" s="7">
        <f t="shared" si="226"/>
        <v>0.24828831856176747</v>
      </c>
      <c r="Z50" s="7">
        <f t="shared" si="226"/>
        <v>0.26720794958797867</v>
      </c>
      <c r="AA50" s="41"/>
      <c r="AB50" s="7">
        <f t="shared" ref="AB50" si="227">AB49/W49-1</f>
        <v>0.21815581356217395</v>
      </c>
      <c r="AC50" s="7">
        <f t="shared" ref="AC50" si="228">AC49/X49-1</f>
        <v>0.11690171881886302</v>
      </c>
      <c r="AD50" s="7">
        <f t="shared" ref="AD50:AG50" si="229">AD49/Y49-1</f>
        <v>8.8633151625277629E-2</v>
      </c>
      <c r="AE50" s="7">
        <f t="shared" si="229"/>
        <v>8.2496573268305173E-2</v>
      </c>
      <c r="AF50" s="55"/>
      <c r="AG50" s="8">
        <f t="shared" si="229"/>
        <v>1.5140154706816844E-2</v>
      </c>
      <c r="AH50" s="8">
        <f t="shared" ref="AH50" si="230">AH49/AC49-1</f>
        <v>3.9852924928480027E-2</v>
      </c>
      <c r="AI50" s="8">
        <f t="shared" ref="AI50" si="231">AI49/AD49-1</f>
        <v>4.9185954500494455E-2</v>
      </c>
      <c r="AJ50" s="8">
        <f t="shared" ref="AJ50" si="232">AJ49/AE49-1</f>
        <v>3.6859930946140596E-2</v>
      </c>
    </row>
    <row r="51" spans="1:36" x14ac:dyDescent="0.25">
      <c r="A51" s="4"/>
      <c r="C51" s="4"/>
      <c r="D51" s="4"/>
      <c r="E51" s="4"/>
      <c r="F51" s="4"/>
      <c r="G51" s="4"/>
      <c r="H51" s="4"/>
      <c r="I51" s="4"/>
      <c r="J51" s="4"/>
      <c r="K51" s="4"/>
      <c r="L51" s="4"/>
      <c r="M51" s="4"/>
      <c r="N51" s="4"/>
      <c r="O51" s="4"/>
      <c r="P51" s="4"/>
      <c r="Q51" s="4"/>
      <c r="R51" s="4"/>
      <c r="S51" s="4"/>
      <c r="T51" s="4"/>
      <c r="U51" s="4"/>
      <c r="V51" s="4"/>
      <c r="W51" s="4"/>
      <c r="X51" s="4"/>
      <c r="Y51" s="4"/>
      <c r="AF51" s="55"/>
      <c r="AG51" s="55"/>
      <c r="AH51" s="55"/>
      <c r="AI51" s="55"/>
      <c r="AJ51" s="55"/>
    </row>
    <row r="52" spans="1:36" x14ac:dyDescent="0.25">
      <c r="A52" s="25" t="s">
        <v>35</v>
      </c>
      <c r="C52" s="16">
        <f>C71+C85</f>
        <v>19824</v>
      </c>
      <c r="D52" s="16">
        <f>D71+D85</f>
        <v>21233</v>
      </c>
      <c r="E52" s="16">
        <f>E71+E85</f>
        <v>22474</v>
      </c>
      <c r="F52" s="16">
        <f>F71+F85</f>
        <v>23616</v>
      </c>
      <c r="G52" s="16"/>
      <c r="H52" s="16">
        <f>H71+H85</f>
        <v>23314</v>
      </c>
      <c r="I52" s="16">
        <f>I71+I85</f>
        <v>25440</v>
      </c>
      <c r="J52" s="16">
        <f>J71+J85</f>
        <v>26341</v>
      </c>
      <c r="K52" s="16">
        <f>K71+K85</f>
        <v>28120</v>
      </c>
      <c r="L52" s="16"/>
      <c r="M52" s="16">
        <f>M71+M85</f>
        <v>27138</v>
      </c>
      <c r="N52" s="16">
        <f>N71+N85</f>
        <v>30311</v>
      </c>
      <c r="O52" s="16">
        <f>O71+O85</f>
        <v>31737</v>
      </c>
      <c r="P52" s="16">
        <f>P71+P85</f>
        <v>33036</v>
      </c>
      <c r="Q52" s="16"/>
      <c r="R52" s="16">
        <f>R71+R85</f>
        <v>30821</v>
      </c>
      <c r="S52" s="16">
        <f>S71+S85</f>
        <v>27453</v>
      </c>
      <c r="T52" s="16">
        <f>T71+T85</f>
        <v>32988</v>
      </c>
      <c r="U52" s="16">
        <f>U71+U85</f>
        <v>34183</v>
      </c>
      <c r="V52" s="16"/>
      <c r="W52" s="16">
        <f>W71+W85</f>
        <v>33168</v>
      </c>
      <c r="X52" s="16">
        <f>X71+X85</f>
        <v>37423</v>
      </c>
      <c r="Y52" s="16">
        <f>Y71+Y85</f>
        <v>40126</v>
      </c>
      <c r="Z52" s="16">
        <f>Z71+Z85</f>
        <v>42360</v>
      </c>
      <c r="AB52" s="16">
        <f>AB71+AB85</f>
        <v>37024</v>
      </c>
      <c r="AC52" s="16">
        <f>AC71+AC85</f>
        <v>39997</v>
      </c>
      <c r="AD52" s="16">
        <f>AD71+AD85</f>
        <v>42223</v>
      </c>
      <c r="AE52" s="16">
        <f>AE71+AE85</f>
        <v>43507</v>
      </c>
      <c r="AF52" s="55"/>
      <c r="AG52" s="61">
        <f>AG71+AG85</f>
        <v>38177.18</v>
      </c>
      <c r="AH52" s="61">
        <f t="shared" ref="AH52:AJ52" si="233">AH71+AH85</f>
        <v>40935.880000000005</v>
      </c>
      <c r="AI52" s="61">
        <f t="shared" si="233"/>
        <v>43797.759999999995</v>
      </c>
      <c r="AJ52" s="61">
        <f t="shared" si="233"/>
        <v>45345.429999999993</v>
      </c>
    </row>
    <row r="53" spans="1:36" x14ac:dyDescent="0.25">
      <c r="A53" s="23" t="s">
        <v>23</v>
      </c>
      <c r="C53" s="7">
        <v>7.6999999999999999E-2</v>
      </c>
      <c r="D53" s="7">
        <v>7.6999999999999999E-2</v>
      </c>
      <c r="E53" s="7">
        <v>0.14000000000000001</v>
      </c>
      <c r="F53" s="7">
        <v>0.157</v>
      </c>
      <c r="G53" s="42"/>
      <c r="H53" s="7">
        <f>H52/C52-1</f>
        <v>0.17604923325262312</v>
      </c>
      <c r="I53" s="7">
        <f t="shared" ref="I53" si="234">I52/D52-1</f>
        <v>0.19813497857109219</v>
      </c>
      <c r="J53" s="7">
        <f t="shared" ref="J53" si="235">J52/E52-1</f>
        <v>0.17206549790869441</v>
      </c>
      <c r="K53" s="7">
        <f t="shared" ref="K53" si="236">K52/F52-1</f>
        <v>0.19071815718157192</v>
      </c>
      <c r="L53" s="42"/>
      <c r="M53" s="7">
        <f>M52/H52-1</f>
        <v>0.16402161791198422</v>
      </c>
      <c r="N53" s="7">
        <f t="shared" ref="N53" si="237">N52/I52-1</f>
        <v>0.19147012578616351</v>
      </c>
      <c r="O53" s="7">
        <f t="shared" ref="O53" si="238">O52/J52-1</f>
        <v>0.20485175202156336</v>
      </c>
      <c r="P53" s="7">
        <f t="shared" ref="P53" si="239">P52/K52-1</f>
        <v>0.17482219061166426</v>
      </c>
      <c r="Q53" s="42"/>
      <c r="R53" s="7">
        <f>R52/M52-1</f>
        <v>0.13571375930429652</v>
      </c>
      <c r="S53" s="7">
        <f t="shared" ref="S53" si="240">S52/N52-1</f>
        <v>-9.4289201939889766E-2</v>
      </c>
      <c r="T53" s="7">
        <f t="shared" ref="T53" si="241">T52/O52-1</f>
        <v>3.9417714339729626E-2</v>
      </c>
      <c r="U53" s="7">
        <f t="shared" ref="U53" si="242">U52/P52-1</f>
        <v>3.4719699721516006E-2</v>
      </c>
      <c r="V53" s="42"/>
      <c r="W53" s="7">
        <f>W52/R52-1</f>
        <v>7.6149378670387069E-2</v>
      </c>
      <c r="X53" s="7">
        <f t="shared" ref="X53" si="243">X52/S52-1</f>
        <v>0.36316613849123947</v>
      </c>
      <c r="Y53" s="7">
        <f t="shared" ref="Y53" si="244">Y52/T52-1</f>
        <v>0.21638171456287125</v>
      </c>
      <c r="Z53" s="7">
        <f t="shared" ref="Z53" si="245">Z52/U52-1</f>
        <v>0.23921247403680201</v>
      </c>
      <c r="AA53" s="41"/>
      <c r="AB53" s="7">
        <f>AB52/W52-1</f>
        <v>0.11625663289917987</v>
      </c>
      <c r="AC53" s="7">
        <f t="shared" ref="AC53" si="246">AC52/X52-1</f>
        <v>6.8781230793896864E-2</v>
      </c>
      <c r="AD53" s="7">
        <f t="shared" ref="AD53:AG53" si="247">AD52/Y52-1</f>
        <v>5.2260379803618529E-2</v>
      </c>
      <c r="AE53" s="7">
        <f t="shared" si="247"/>
        <v>2.7077431539187957E-2</v>
      </c>
      <c r="AF53" s="55"/>
      <c r="AG53" s="8">
        <f t="shared" si="247"/>
        <v>3.1146823681936109E-2</v>
      </c>
      <c r="AH53" s="8">
        <f t="shared" ref="AH53" si="248">AH52/AC52-1</f>
        <v>2.3473760532040089E-2</v>
      </c>
      <c r="AI53" s="8">
        <f t="shared" ref="AI53" si="249">AI52/AD52-1</f>
        <v>3.729626033204636E-2</v>
      </c>
      <c r="AJ53" s="8">
        <f t="shared" ref="AJ53" si="250">AJ52/AE52-1</f>
        <v>4.225595881122568E-2</v>
      </c>
    </row>
    <row r="54" spans="1:36" x14ac:dyDescent="0.25">
      <c r="A54" s="23"/>
      <c r="C54" s="4"/>
      <c r="D54" s="4"/>
      <c r="E54" s="4"/>
      <c r="F54" s="4"/>
      <c r="G54" s="4"/>
      <c r="H54" s="4"/>
      <c r="I54" s="4"/>
      <c r="J54" s="4"/>
      <c r="K54" s="4"/>
      <c r="L54" s="4"/>
      <c r="M54" s="4"/>
      <c r="N54" s="4"/>
      <c r="O54" s="4"/>
      <c r="P54" s="4"/>
      <c r="Q54" s="4"/>
      <c r="R54" s="4"/>
      <c r="S54" s="4"/>
      <c r="T54" s="4"/>
      <c r="U54" s="4"/>
      <c r="V54" s="4"/>
      <c r="W54" s="10"/>
      <c r="X54" s="10"/>
      <c r="Y54" s="10"/>
      <c r="AF54" s="55"/>
      <c r="AG54" s="55"/>
      <c r="AH54" s="55"/>
      <c r="AI54" s="55"/>
      <c r="AJ54" s="55"/>
    </row>
    <row r="55" spans="1:36" x14ac:dyDescent="0.25">
      <c r="A55" s="22" t="s">
        <v>36</v>
      </c>
      <c r="C55" s="10">
        <f>C49/C52</f>
        <v>0.74152542372881358</v>
      </c>
      <c r="D55" s="10">
        <f>D49/D52</f>
        <v>0.75420336269015209</v>
      </c>
      <c r="E55" s="10">
        <f>E49/E52</f>
        <v>0.7497997686215182</v>
      </c>
      <c r="F55" s="10">
        <f>F49/F52</f>
        <v>0.75114329268292679</v>
      </c>
      <c r="G55" s="10"/>
      <c r="H55" s="10">
        <f>H49/H52</f>
        <v>0.71549283692202115</v>
      </c>
      <c r="I55" s="10">
        <f>I49/I52</f>
        <v>0.71387578616352199</v>
      </c>
      <c r="J55" s="10">
        <f>J49/J52</f>
        <v>0.71466535059413083</v>
      </c>
      <c r="K55" s="10">
        <f>K49/K52</f>
        <v>0.71564722617354193</v>
      </c>
      <c r="L55" s="10"/>
      <c r="M55" s="10">
        <f>M49/M52</f>
        <v>0.7076792689218071</v>
      </c>
      <c r="N55" s="10">
        <f>N49/N52</f>
        <v>0.70697106660948172</v>
      </c>
      <c r="O55" s="10">
        <f>O49/O52</f>
        <v>0.72127170179916189</v>
      </c>
      <c r="P55" s="10">
        <f>P49/P52</f>
        <v>0.72063809177866567</v>
      </c>
      <c r="Q55" s="10"/>
      <c r="R55" s="10">
        <f>R49/R52</f>
        <v>0.71808182732552484</v>
      </c>
      <c r="S55" s="10">
        <f>S49/S52</f>
        <v>0.70553309292244926</v>
      </c>
      <c r="T55" s="10">
        <f>T49/T52</f>
        <v>0.72168667394203956</v>
      </c>
      <c r="U55" s="10">
        <f>U49/U52</f>
        <v>0.72421964134218764</v>
      </c>
      <c r="V55" s="10"/>
      <c r="W55" s="10">
        <f>W49/W52</f>
        <v>0.71671490593342979</v>
      </c>
      <c r="X55" s="10">
        <f>X49/X52</f>
        <v>0.72757395184779416</v>
      </c>
      <c r="Y55" s="10">
        <f>Y49/Y52</f>
        <v>0.74061705627274088</v>
      </c>
      <c r="Z55" s="10">
        <f>Z49/Z52</f>
        <v>0.74058073654390932</v>
      </c>
      <c r="AB55" s="10">
        <f>AB49/AB52</f>
        <v>0.78214131374243734</v>
      </c>
      <c r="AC55" s="10">
        <f>AC49/AC52</f>
        <v>0.76033202490186769</v>
      </c>
      <c r="AD55" s="10">
        <f>AD49/AD52</f>
        <v>0.76621746441512917</v>
      </c>
      <c r="AE55" s="10">
        <f>AE49/AE52</f>
        <v>0.78054106235778153</v>
      </c>
      <c r="AF55" s="55"/>
      <c r="AG55" s="60">
        <v>0.77</v>
      </c>
      <c r="AH55" s="60">
        <v>0.77249999999999996</v>
      </c>
      <c r="AI55" s="60">
        <v>0.77500000000000002</v>
      </c>
      <c r="AJ55" s="60">
        <v>0.77649999999999997</v>
      </c>
    </row>
    <row r="56" spans="1:36" x14ac:dyDescent="0.25">
      <c r="A56" s="4"/>
      <c r="C56" s="4"/>
      <c r="D56" s="4"/>
      <c r="E56" s="4"/>
      <c r="F56" s="4"/>
      <c r="G56" s="4"/>
      <c r="H56" s="4"/>
      <c r="I56" s="4"/>
      <c r="J56" s="4"/>
      <c r="K56" s="4"/>
      <c r="L56" s="4"/>
      <c r="M56" s="4"/>
      <c r="N56" s="4"/>
      <c r="O56" s="4"/>
      <c r="P56" s="4"/>
      <c r="Q56" s="4"/>
      <c r="R56" s="4"/>
      <c r="S56" s="4"/>
      <c r="T56" s="4"/>
      <c r="U56" s="4"/>
      <c r="V56" s="4"/>
      <c r="W56" s="4"/>
      <c r="X56" s="4"/>
      <c r="Y56" s="4"/>
      <c r="AB56" s="4"/>
      <c r="AC56" s="4"/>
      <c r="AD56" s="4"/>
      <c r="AE56" s="4"/>
      <c r="AF56" s="55"/>
      <c r="AG56" s="55"/>
      <c r="AH56" s="55"/>
      <c r="AI56" s="55"/>
      <c r="AJ56" s="55"/>
    </row>
    <row r="57" spans="1:36" x14ac:dyDescent="0.25">
      <c r="A57" s="25" t="s">
        <v>37</v>
      </c>
      <c r="C57" s="17">
        <f>C46/C49</f>
        <v>9.1632653061224492E-2</v>
      </c>
      <c r="D57" s="17">
        <f>D46/D49</f>
        <v>9.3418259023354558E-2</v>
      </c>
      <c r="E57" s="17">
        <f>E46/E49</f>
        <v>9.8629161474096491E-2</v>
      </c>
      <c r="F57" s="17">
        <f>F46/F49</f>
        <v>9.4875697615423638E-2</v>
      </c>
      <c r="G57" s="4"/>
      <c r="H57" s="17">
        <f>H46/H49</f>
        <v>0.10233199448474312</v>
      </c>
      <c r="I57" s="17">
        <f>I46/I49</f>
        <v>0.10076537635592754</v>
      </c>
      <c r="J57" s="17">
        <f>J46/J49</f>
        <v>0.10156706507304117</v>
      </c>
      <c r="K57" s="17">
        <f>K46/K49</f>
        <v>9.6501689524945339E-2</v>
      </c>
      <c r="L57" s="4"/>
      <c r="M57" s="17">
        <f>M46/M49</f>
        <v>0.10007810466024472</v>
      </c>
      <c r="N57" s="17">
        <f>N46/N49</f>
        <v>9.5804750571655231E-2</v>
      </c>
      <c r="O57" s="17">
        <f>O46/O49</f>
        <v>9.7461884583460751E-2</v>
      </c>
      <c r="P57" s="17">
        <f>P46/P49</f>
        <v>9.5056075944050064E-2</v>
      </c>
      <c r="Q57" s="4"/>
      <c r="R57" s="17">
        <f>R46/R49</f>
        <v>9.9403578528827044E-2</v>
      </c>
      <c r="S57" s="17">
        <f>S46/S49</f>
        <v>9.8146522794155616E-2</v>
      </c>
      <c r="T57" s="17">
        <f>T46/T49</f>
        <v>9.4552022514386519E-2</v>
      </c>
      <c r="U57" s="17">
        <f>U46/U49</f>
        <v>9.6097915656810473E-2</v>
      </c>
      <c r="V57" s="4"/>
      <c r="W57" s="17">
        <f>W46/W49</f>
        <v>9.8897863032138655E-2</v>
      </c>
      <c r="X57" s="17">
        <f>X46/X49</f>
        <v>9.5930659615102096E-2</v>
      </c>
      <c r="Y57" s="17">
        <f>Y46/Y49</f>
        <v>9.5867824214280903E-2</v>
      </c>
      <c r="Z57" s="17">
        <f>Z46/Z49</f>
        <v>9.5215326256733929E-2</v>
      </c>
      <c r="AB57" s="17">
        <f>AB46/AB49</f>
        <v>0.10055943089992403</v>
      </c>
      <c r="AC57" s="17">
        <f>AC46/AC49</f>
        <v>0.10065436848508763</v>
      </c>
      <c r="AD57" s="17">
        <f>AD46/AD49</f>
        <v>0.10163204747774481</v>
      </c>
      <c r="AE57" s="17">
        <f>AE46/AE49</f>
        <v>9.8177213698872168E-2</v>
      </c>
      <c r="AF57" s="55"/>
      <c r="AG57" s="62">
        <v>0.1</v>
      </c>
      <c r="AH57" s="62">
        <v>0.1</v>
      </c>
      <c r="AI57" s="62">
        <v>0.1</v>
      </c>
      <c r="AJ57" s="62">
        <v>0.1</v>
      </c>
    </row>
    <row r="58" spans="1:36" x14ac:dyDescent="0.25">
      <c r="A58" s="23" t="s">
        <v>23</v>
      </c>
      <c r="C58" s="7">
        <v>-8.9999999999999993E-3</v>
      </c>
      <c r="D58" s="7">
        <v>6.0000000000000001E-3</v>
      </c>
      <c r="E58" s="7">
        <v>0.05</v>
      </c>
      <c r="F58" s="7">
        <v>6.8000000000000005E-2</v>
      </c>
      <c r="G58" s="42"/>
      <c r="H58" s="7">
        <f>H57/C57-1</f>
        <v>0.11676341419875569</v>
      </c>
      <c r="I58" s="7">
        <f t="shared" ref="I58" si="251">I57/D57-1</f>
        <v>7.8647551446406228E-2</v>
      </c>
      <c r="J58" s="7">
        <f t="shared" ref="J58" si="252">J57/E57-1</f>
        <v>2.9787372771249654E-2</v>
      </c>
      <c r="K58" s="7">
        <f t="shared" ref="K58" si="253">K57/F57-1</f>
        <v>1.7138128629236693E-2</v>
      </c>
      <c r="L58" s="42"/>
      <c r="M58" s="7">
        <f>M57/H57-1</f>
        <v>-2.2025270159611976E-2</v>
      </c>
      <c r="N58" s="7">
        <f t="shared" ref="N58" si="254">N57/I57-1</f>
        <v>-4.9229467141076233E-2</v>
      </c>
      <c r="O58" s="7">
        <f t="shared" ref="O58" si="255">O57/J57-1</f>
        <v>-4.0418421922777892E-2</v>
      </c>
      <c r="P58" s="7">
        <f t="shared" ref="P58" si="256">P57/K57-1</f>
        <v>-1.4980189341882832E-2</v>
      </c>
      <c r="Q58" s="42"/>
      <c r="R58" s="7">
        <f>R57/M57-1</f>
        <v>-6.7399970623707173E-3</v>
      </c>
      <c r="S58" s="7">
        <f t="shared" ref="S58" si="257">S57/N57-1</f>
        <v>2.4443174357506425E-2</v>
      </c>
      <c r="T58" s="7">
        <f t="shared" ref="T58" si="258">T57/O57-1</f>
        <v>-2.985641085754287E-2</v>
      </c>
      <c r="U58" s="7">
        <f t="shared" ref="U58" si="259">U57/P57-1</f>
        <v>1.0960264269415321E-2</v>
      </c>
      <c r="V58" s="42"/>
      <c r="W58" s="7">
        <f>W57/R57-1</f>
        <v>-5.0874978966851669E-3</v>
      </c>
      <c r="X58" s="7">
        <f t="shared" ref="X58" si="260">X57/S57-1</f>
        <v>-2.2577093064222842E-2</v>
      </c>
      <c r="Y58" s="7">
        <f t="shared" ref="Y58" si="261">Y57/T57-1</f>
        <v>1.3916166623449744E-2</v>
      </c>
      <c r="Z58" s="7">
        <f t="shared" ref="Z58" si="262">Z57/U57-1</f>
        <v>-9.1842720421584367E-3</v>
      </c>
      <c r="AA58" s="41"/>
      <c r="AB58" s="7">
        <f>AB57/W57-1</f>
        <v>1.6800847023817012E-2</v>
      </c>
      <c r="AC58" s="7">
        <f t="shared" ref="AC58" si="263">AC57/X57-1</f>
        <v>4.9240867194473958E-2</v>
      </c>
      <c r="AD58" s="7">
        <f t="shared" ref="AD58:AG58" si="264">AD57/Y57-1</f>
        <v>6.0126776743987476E-2</v>
      </c>
      <c r="AE58" s="7">
        <f t="shared" si="264"/>
        <v>3.1107255087820196E-2</v>
      </c>
      <c r="AF58" s="55"/>
      <c r="AG58" s="8">
        <f t="shared" si="264"/>
        <v>-5.5631868131867934E-3</v>
      </c>
      <c r="AH58" s="8">
        <f t="shared" ref="AH58" si="265">AH57/AC57-1</f>
        <v>-6.5011434171838856E-3</v>
      </c>
      <c r="AI58" s="8">
        <f t="shared" ref="AI58" si="266">AI57/AD57-1</f>
        <v>-1.6058394160583855E-2</v>
      </c>
      <c r="AJ58" s="8">
        <f t="shared" ref="AJ58" si="267">AJ57/AE57-1</f>
        <v>1.8566286742651483E-2</v>
      </c>
    </row>
    <row r="59" spans="1:36" x14ac:dyDescent="0.25">
      <c r="A59" s="23"/>
      <c r="C59" s="4"/>
      <c r="D59" s="4"/>
      <c r="E59" s="4"/>
      <c r="F59" s="4"/>
      <c r="G59" s="4"/>
      <c r="H59" s="4"/>
      <c r="I59" s="4"/>
      <c r="J59" s="4"/>
      <c r="K59" s="4"/>
      <c r="L59" s="4"/>
      <c r="M59" s="4"/>
      <c r="N59" s="4"/>
      <c r="O59" s="4"/>
      <c r="P59" s="4"/>
      <c r="Q59" s="4"/>
      <c r="R59" s="4"/>
      <c r="S59" s="4"/>
      <c r="T59" s="4"/>
      <c r="U59" s="4"/>
      <c r="V59" s="4"/>
      <c r="W59" s="4"/>
      <c r="X59" s="4"/>
      <c r="Y59" s="4"/>
      <c r="AE59" s="55"/>
    </row>
    <row r="60" spans="1:36" x14ac:dyDescent="0.25">
      <c r="A60" s="33" t="s">
        <v>132</v>
      </c>
      <c r="C60" s="4"/>
      <c r="D60" s="4"/>
      <c r="E60" s="4"/>
      <c r="F60" s="4"/>
      <c r="G60" s="4"/>
      <c r="H60" s="4"/>
      <c r="I60" s="4"/>
      <c r="J60" s="4"/>
      <c r="K60" s="4"/>
      <c r="L60" s="4"/>
      <c r="M60" s="4"/>
      <c r="N60" s="4"/>
      <c r="O60" s="4"/>
      <c r="P60" s="4"/>
      <c r="Q60" s="4"/>
      <c r="R60" s="4"/>
      <c r="S60" s="4"/>
      <c r="T60" s="4"/>
      <c r="U60" s="4"/>
      <c r="V60" s="4"/>
      <c r="W60" s="4"/>
      <c r="X60" s="4"/>
      <c r="Y60" s="4"/>
      <c r="AE60" s="55"/>
    </row>
    <row r="61" spans="1:36" x14ac:dyDescent="0.25">
      <c r="A61" s="22" t="s">
        <v>29</v>
      </c>
      <c r="C61" s="16">
        <v>4073</v>
      </c>
      <c r="D61" s="16">
        <v>4415</v>
      </c>
      <c r="E61" s="16">
        <v>4655</v>
      </c>
      <c r="F61" s="16">
        <v>4898</v>
      </c>
      <c r="G61" s="6"/>
      <c r="H61" s="16">
        <v>4866</v>
      </c>
      <c r="I61" s="18">
        <v>5252</v>
      </c>
      <c r="J61" s="18">
        <v>5471</v>
      </c>
      <c r="K61" s="16">
        <v>5832</v>
      </c>
      <c r="L61" s="6"/>
      <c r="M61" s="18">
        <v>5544</v>
      </c>
      <c r="N61" s="18">
        <v>6217</v>
      </c>
      <c r="O61" s="18">
        <v>6534</v>
      </c>
      <c r="P61" s="18">
        <v>6868</v>
      </c>
      <c r="Q61" s="6"/>
      <c r="R61" s="18">
        <v>6300</v>
      </c>
      <c r="S61" s="18">
        <v>5883</v>
      </c>
      <c r="T61" s="18">
        <v>6797</v>
      </c>
      <c r="U61" s="18">
        <v>7350</v>
      </c>
      <c r="V61" s="6"/>
      <c r="W61" s="18">
        <v>7092</v>
      </c>
      <c r="X61" s="18">
        <v>7678</v>
      </c>
      <c r="Y61" s="18">
        <v>7889</v>
      </c>
      <c r="Z61" s="18">
        <v>8633</v>
      </c>
      <c r="AB61" s="18">
        <v>8195</v>
      </c>
      <c r="AC61" s="18">
        <v>8909</v>
      </c>
      <c r="AD61" s="18">
        <v>9378</v>
      </c>
      <c r="AE61" s="18">
        <v>9648</v>
      </c>
      <c r="AG61" s="63">
        <f>AB61*(1+AG62)</f>
        <v>8850.6</v>
      </c>
      <c r="AH61" s="63">
        <f t="shared" ref="AH61:AJ61" si="268">AC61*(1+AH62)</f>
        <v>9799.9000000000015</v>
      </c>
      <c r="AI61" s="63">
        <f t="shared" si="268"/>
        <v>10784.699999999999</v>
      </c>
      <c r="AJ61" s="63">
        <f t="shared" si="268"/>
        <v>11095.199999999999</v>
      </c>
    </row>
    <row r="62" spans="1:36" x14ac:dyDescent="0.25">
      <c r="A62" s="23" t="s">
        <v>23</v>
      </c>
      <c r="C62" s="7">
        <v>0.249</v>
      </c>
      <c r="D62" s="7">
        <v>0.23799999999999999</v>
      </c>
      <c r="E62" s="7">
        <v>0.23699999999999999</v>
      </c>
      <c r="F62" s="7">
        <v>0.18</v>
      </c>
      <c r="G62" s="39"/>
      <c r="H62" s="7">
        <f>H61/C61-1</f>
        <v>0.19469678369752019</v>
      </c>
      <c r="I62" s="7">
        <f t="shared" ref="I62" si="269">I61/D61-1</f>
        <v>0.18958097395243478</v>
      </c>
      <c r="J62" s="7">
        <f t="shared" ref="J62" si="270">J61/E61-1</f>
        <v>0.175295381310419</v>
      </c>
      <c r="K62" s="7">
        <f t="shared" ref="K62" si="271">K61/F61-1</f>
        <v>0.19069007758268675</v>
      </c>
      <c r="L62" s="39"/>
      <c r="M62" s="7">
        <f>M61/H61-1</f>
        <v>0.13933415536374838</v>
      </c>
      <c r="N62" s="7">
        <f t="shared" ref="N62" si="272">N61/I61-1</f>
        <v>0.18373952779893377</v>
      </c>
      <c r="O62" s="7">
        <f t="shared" ref="O62" si="273">O61/J61-1</f>
        <v>0.19429720343630041</v>
      </c>
      <c r="P62" s="7">
        <f t="shared" ref="P62" si="274">P61/K61-1</f>
        <v>0.17764060356652944</v>
      </c>
      <c r="Q62" s="39"/>
      <c r="R62" s="7">
        <f>R61/M61-1</f>
        <v>0.13636363636363646</v>
      </c>
      <c r="S62" s="7">
        <f t="shared" ref="S62" si="275">S61/N61-1</f>
        <v>-5.3723660929708816E-2</v>
      </c>
      <c r="T62" s="7">
        <f t="shared" ref="T62" si="276">T61/O61-1</f>
        <v>4.0250994796449335E-2</v>
      </c>
      <c r="U62" s="7">
        <f t="shared" ref="U62" si="277">U61/P61-1</f>
        <v>7.0180547466511367E-2</v>
      </c>
      <c r="V62" s="39"/>
      <c r="W62" s="7">
        <f>W61/R61-1</f>
        <v>0.12571428571428567</v>
      </c>
      <c r="X62" s="7">
        <f t="shared" ref="X62" si="278">X61/S61-1</f>
        <v>0.30511643719190884</v>
      </c>
      <c r="Y62" s="7">
        <f t="shared" ref="Y62" si="279">Y61/T61-1</f>
        <v>0.16065911431513902</v>
      </c>
      <c r="Z62" s="7">
        <f t="shared" ref="Z62" si="280">Z61/U61-1</f>
        <v>0.17455782312925172</v>
      </c>
      <c r="AA62" s="41"/>
      <c r="AB62" s="7">
        <f>AB61/W61-1</f>
        <v>0.15552735476593349</v>
      </c>
      <c r="AC62" s="7">
        <f t="shared" ref="AC62" si="281">AC61/X61-1</f>
        <v>0.16032821047147694</v>
      </c>
      <c r="AD62" s="7">
        <f t="shared" ref="AD62:AE62" si="282">AD61/Y61-1</f>
        <v>0.18874382050957039</v>
      </c>
      <c r="AE62" s="7">
        <f t="shared" si="282"/>
        <v>0.1175721070311595</v>
      </c>
      <c r="AG62" s="8">
        <v>0.08</v>
      </c>
      <c r="AH62" s="8">
        <v>0.1</v>
      </c>
      <c r="AI62" s="8">
        <v>0.15</v>
      </c>
      <c r="AJ62" s="8">
        <v>0.15</v>
      </c>
    </row>
    <row r="63" spans="1:36" x14ac:dyDescent="0.25">
      <c r="A63" s="22" t="s">
        <v>30</v>
      </c>
      <c r="C63" s="14">
        <v>501</v>
      </c>
      <c r="D63" s="14">
        <v>571</v>
      </c>
      <c r="E63" s="14">
        <v>582</v>
      </c>
      <c r="F63" s="14">
        <v>599</v>
      </c>
      <c r="G63" s="6"/>
      <c r="H63" s="14">
        <v>554</v>
      </c>
      <c r="I63" s="15">
        <v>635</v>
      </c>
      <c r="J63" s="15">
        <v>650</v>
      </c>
      <c r="K63" s="14">
        <v>698</v>
      </c>
      <c r="L63" s="6"/>
      <c r="M63" s="15">
        <v>611</v>
      </c>
      <c r="N63" s="15">
        <v>710</v>
      </c>
      <c r="O63" s="15">
        <v>748</v>
      </c>
      <c r="P63" s="15">
        <v>753</v>
      </c>
      <c r="Q63" s="6"/>
      <c r="R63" s="15">
        <v>654</v>
      </c>
      <c r="S63" s="15">
        <v>572</v>
      </c>
      <c r="T63" s="15">
        <v>722</v>
      </c>
      <c r="U63" s="15">
        <v>729</v>
      </c>
      <c r="V63" s="6"/>
      <c r="W63" s="15">
        <v>648</v>
      </c>
      <c r="X63" s="15">
        <v>751</v>
      </c>
      <c r="Y63" s="15">
        <v>827</v>
      </c>
      <c r="Z63" s="15">
        <v>855</v>
      </c>
      <c r="AB63" s="15">
        <v>748</v>
      </c>
      <c r="AC63" s="15">
        <v>896</v>
      </c>
      <c r="AD63" s="15">
        <v>941</v>
      </c>
      <c r="AE63" s="15">
        <v>949</v>
      </c>
      <c r="AG63" s="63">
        <f>AB63*(1+AG64)</f>
        <v>785.4</v>
      </c>
      <c r="AH63" s="63">
        <f t="shared" ref="AH63:AJ63" si="283">AC63*(1+AH64)</f>
        <v>940.80000000000007</v>
      </c>
      <c r="AI63" s="63">
        <f t="shared" si="283"/>
        <v>988.05000000000007</v>
      </c>
      <c r="AJ63" s="63">
        <f t="shared" si="283"/>
        <v>996.45</v>
      </c>
    </row>
    <row r="64" spans="1:36" x14ac:dyDescent="0.25">
      <c r="A64" s="23" t="s">
        <v>23</v>
      </c>
      <c r="C64" s="7">
        <v>0.123</v>
      </c>
      <c r="D64" s="7">
        <v>0.11700000000000001</v>
      </c>
      <c r="E64" s="7">
        <v>0.10199999999999999</v>
      </c>
      <c r="F64" s="7">
        <v>0.105</v>
      </c>
      <c r="G64" s="39"/>
      <c r="H64" s="7">
        <f>H63/C63-1</f>
        <v>0.10578842315369252</v>
      </c>
      <c r="I64" s="7">
        <f t="shared" ref="I64" si="284">I63/D63-1</f>
        <v>0.11208406304728546</v>
      </c>
      <c r="J64" s="7">
        <f t="shared" ref="J64" si="285">J63/E63-1</f>
        <v>0.11683848797250862</v>
      </c>
      <c r="K64" s="7">
        <f t="shared" ref="K64" si="286">K63/F63-1</f>
        <v>0.1652754590984975</v>
      </c>
      <c r="L64" s="39"/>
      <c r="M64" s="7">
        <f>M63/H63-1</f>
        <v>0.10288808664259919</v>
      </c>
      <c r="N64" s="7">
        <f t="shared" ref="N64" si="287">N63/I63-1</f>
        <v>0.11811023622047245</v>
      </c>
      <c r="O64" s="7">
        <f t="shared" ref="O64" si="288">O63/J63-1</f>
        <v>0.15076923076923077</v>
      </c>
      <c r="P64" s="7">
        <f t="shared" ref="P64" si="289">P63/K63-1</f>
        <v>7.8796561604584481E-2</v>
      </c>
      <c r="Q64" s="39"/>
      <c r="R64" s="7">
        <f>R63/M63-1</f>
        <v>7.0376432078559814E-2</v>
      </c>
      <c r="S64" s="7">
        <f t="shared" ref="S64" si="290">S63/N63-1</f>
        <v>-0.19436619718309855</v>
      </c>
      <c r="T64" s="7">
        <f t="shared" ref="T64" si="291">T63/O63-1</f>
        <v>-3.4759358288770081E-2</v>
      </c>
      <c r="U64" s="7">
        <f t="shared" ref="U64" si="292">U63/P63-1</f>
        <v>-3.1872509960159334E-2</v>
      </c>
      <c r="V64" s="39"/>
      <c r="W64" s="7">
        <f>W63/R63-1</f>
        <v>-9.1743119266054496E-3</v>
      </c>
      <c r="X64" s="7">
        <f t="shared" ref="X64" si="293">X63/S63-1</f>
        <v>0.31293706293706292</v>
      </c>
      <c r="Y64" s="7">
        <f t="shared" ref="Y64" si="294">Y63/T63-1</f>
        <v>0.14542936288088648</v>
      </c>
      <c r="Z64" s="7">
        <f t="shared" ref="Z64" si="295">Z63/U63-1</f>
        <v>0.17283950617283961</v>
      </c>
      <c r="AA64" s="41"/>
      <c r="AB64" s="7">
        <f>AB63/W63-1</f>
        <v>0.15432098765432101</v>
      </c>
      <c r="AC64" s="7">
        <f t="shared" ref="AC64" si="296">AC63/X63-1</f>
        <v>0.19307589880159792</v>
      </c>
      <c r="AD64" s="7">
        <f t="shared" ref="AD64:AE64" si="297">AD63/Y63-1</f>
        <v>0.13784764207980649</v>
      </c>
      <c r="AE64" s="7">
        <f t="shared" si="297"/>
        <v>0.10994152046783623</v>
      </c>
      <c r="AG64" s="8">
        <v>0.05</v>
      </c>
      <c r="AH64" s="8">
        <v>0.05</v>
      </c>
      <c r="AI64" s="8">
        <v>0.05</v>
      </c>
      <c r="AJ64" s="8">
        <v>0.05</v>
      </c>
    </row>
    <row r="65" spans="1:39" x14ac:dyDescent="0.25">
      <c r="A65" s="22" t="s">
        <v>31</v>
      </c>
      <c r="C65" s="16">
        <v>5033</v>
      </c>
      <c r="D65" s="16">
        <v>5596</v>
      </c>
      <c r="E65" s="16">
        <v>6043</v>
      </c>
      <c r="F65" s="16">
        <v>6451</v>
      </c>
      <c r="G65" s="6"/>
      <c r="H65" s="16">
        <v>6468</v>
      </c>
      <c r="I65" s="18">
        <v>7323</v>
      </c>
      <c r="J65" s="18">
        <v>7764</v>
      </c>
      <c r="K65" s="16">
        <v>8416</v>
      </c>
      <c r="L65" s="6"/>
      <c r="M65" s="18">
        <v>8299</v>
      </c>
      <c r="N65" s="18">
        <v>9588</v>
      </c>
      <c r="O65" s="18">
        <v>10229</v>
      </c>
      <c r="P65" s="18">
        <v>10776</v>
      </c>
      <c r="Q65" s="6"/>
      <c r="R65" s="18">
        <v>10231</v>
      </c>
      <c r="S65" s="18">
        <v>9053</v>
      </c>
      <c r="T65" s="18">
        <v>11709</v>
      </c>
      <c r="U65" s="18">
        <v>11728</v>
      </c>
      <c r="V65" s="6"/>
      <c r="W65" s="18">
        <v>11341</v>
      </c>
      <c r="X65" s="18">
        <v>13557</v>
      </c>
      <c r="Y65" s="18">
        <v>15227</v>
      </c>
      <c r="Z65" s="18">
        <v>15805</v>
      </c>
      <c r="AB65" s="18">
        <v>12053</v>
      </c>
      <c r="AC65" s="18">
        <v>12955</v>
      </c>
      <c r="AD65" s="18">
        <v>14237</v>
      </c>
      <c r="AE65" s="18">
        <v>14748</v>
      </c>
      <c r="AG65" s="63">
        <f>AB65*(1+AG66)</f>
        <v>11932.47</v>
      </c>
      <c r="AH65" s="63">
        <f t="shared" ref="AH65" si="298">AC65*(1+AH66)</f>
        <v>12825.45</v>
      </c>
      <c r="AI65" s="63">
        <f t="shared" ref="AI65" si="299">AD65*(1+AI66)</f>
        <v>14094.63</v>
      </c>
      <c r="AJ65" s="63">
        <f t="shared" ref="AJ65" si="300">AE65*(1+AJ66)</f>
        <v>14600.52</v>
      </c>
    </row>
    <row r="66" spans="1:39" x14ac:dyDescent="0.25">
      <c r="A66" s="23" t="s">
        <v>23</v>
      </c>
      <c r="C66" s="7">
        <v>3.5999999999999997E-2</v>
      </c>
      <c r="D66" s="7">
        <v>8.5000000000000006E-2</v>
      </c>
      <c r="E66" s="7">
        <v>0.23799999999999999</v>
      </c>
      <c r="F66" s="7">
        <v>0.252</v>
      </c>
      <c r="G66" s="39"/>
      <c r="H66" s="7">
        <f>H65/C65-1</f>
        <v>0.28511821974965224</v>
      </c>
      <c r="I66" s="7">
        <f t="shared" ref="I66" si="301">I65/D65-1</f>
        <v>0.30861329521086489</v>
      </c>
      <c r="J66" s="7">
        <f t="shared" ref="J66" si="302">J65/E65-1</f>
        <v>0.28479232169452251</v>
      </c>
      <c r="K66" s="7">
        <f t="shared" ref="K66" si="303">K65/F65-1</f>
        <v>0.30460393737405056</v>
      </c>
      <c r="L66" s="39"/>
      <c r="M66" s="7">
        <f>M65/H65-1</f>
        <v>0.28308596165739019</v>
      </c>
      <c r="N66" s="7">
        <f t="shared" ref="N66" si="304">N65/I65-1</f>
        <v>0.30929946743138048</v>
      </c>
      <c r="O66" s="7">
        <f t="shared" ref="O66" si="305">O65/J65-1</f>
        <v>0.31749098402885112</v>
      </c>
      <c r="P66" s="7">
        <f t="shared" ref="P66" si="306">P65/K65-1</f>
        <v>0.28041825095057038</v>
      </c>
      <c r="Q66" s="39"/>
      <c r="R66" s="7">
        <f>R65/M65-1</f>
        <v>0.23279913242559336</v>
      </c>
      <c r="S66" s="7">
        <f t="shared" ref="S66" si="307">S65/N65-1</f>
        <v>-5.5798915310805164E-2</v>
      </c>
      <c r="T66" s="7">
        <f t="shared" ref="T66" si="308">T65/O65-1</f>
        <v>0.14468667513930988</v>
      </c>
      <c r="U66" s="7">
        <f t="shared" ref="U66" si="309">U65/P65-1</f>
        <v>8.8344469190794417E-2</v>
      </c>
      <c r="V66" s="39"/>
      <c r="W66" s="7">
        <f>W65/R65-1</f>
        <v>0.10849379337308185</v>
      </c>
      <c r="X66" s="7">
        <f t="shared" ref="X66" si="310">X65/S65-1</f>
        <v>0.49751463603225443</v>
      </c>
      <c r="Y66" s="7">
        <f t="shared" ref="Y66" si="311">Y65/T65-1</f>
        <v>0.30045264326586385</v>
      </c>
      <c r="Z66" s="7">
        <f t="shared" ref="Z66" si="312">Z65/U65-1</f>
        <v>0.34762960436562063</v>
      </c>
      <c r="AA66" s="41"/>
      <c r="AB66" s="7">
        <f>AB65/W65-1</f>
        <v>6.2781059871263478E-2</v>
      </c>
      <c r="AC66" s="7">
        <f t="shared" ref="AC66" si="313">AC65/X65-1</f>
        <v>-4.4405104374124038E-2</v>
      </c>
      <c r="AD66" s="7">
        <f t="shared" ref="AD66:AE66" si="314">AD65/Y65-1</f>
        <v>-6.501608984041507E-2</v>
      </c>
      <c r="AE66" s="7">
        <f t="shared" si="314"/>
        <v>-6.6877570389117347E-2</v>
      </c>
      <c r="AG66" s="8">
        <v>-0.01</v>
      </c>
      <c r="AH66" s="8">
        <v>-0.01</v>
      </c>
      <c r="AI66" s="8">
        <v>-0.01</v>
      </c>
      <c r="AJ66" s="8">
        <v>-0.01</v>
      </c>
    </row>
    <row r="67" spans="1:39" x14ac:dyDescent="0.25">
      <c r="A67" s="22" t="s">
        <v>32</v>
      </c>
      <c r="C67" s="16">
        <v>1732</v>
      </c>
      <c r="D67" s="16">
        <v>1818</v>
      </c>
      <c r="E67" s="16">
        <v>1928</v>
      </c>
      <c r="F67" s="16">
        <v>2087</v>
      </c>
      <c r="G67" s="6"/>
      <c r="H67" s="16">
        <v>2061</v>
      </c>
      <c r="I67" s="18">
        <v>2187</v>
      </c>
      <c r="J67" s="18">
        <v>2303</v>
      </c>
      <c r="K67" s="16">
        <v>2529</v>
      </c>
      <c r="L67" s="6"/>
      <c r="M67" s="18">
        <v>2474</v>
      </c>
      <c r="N67" s="18">
        <v>2721</v>
      </c>
      <c r="O67" s="18">
        <v>2926</v>
      </c>
      <c r="P67" s="18">
        <v>3084</v>
      </c>
      <c r="Q67" s="6"/>
      <c r="R67" s="18">
        <v>2914</v>
      </c>
      <c r="S67" s="18">
        <v>2340</v>
      </c>
      <c r="T67" s="18">
        <v>2755</v>
      </c>
      <c r="U67" s="18">
        <v>3176</v>
      </c>
      <c r="V67" s="6"/>
      <c r="W67" s="18">
        <v>3156</v>
      </c>
      <c r="X67" s="18">
        <v>3433</v>
      </c>
      <c r="Y67" s="18">
        <v>3856</v>
      </c>
      <c r="Z67" s="18">
        <v>4344</v>
      </c>
      <c r="AB67" s="18">
        <v>4331</v>
      </c>
      <c r="AC67" s="18">
        <v>4659</v>
      </c>
      <c r="AD67" s="18">
        <v>4890</v>
      </c>
      <c r="AE67" s="18">
        <v>5175</v>
      </c>
      <c r="AG67" s="63">
        <f>AB67*(1+AG68)</f>
        <v>4980.6499999999996</v>
      </c>
      <c r="AH67" s="63">
        <f t="shared" ref="AH67" si="315">AC67*(1+AH68)</f>
        <v>5218.0800000000008</v>
      </c>
      <c r="AI67" s="63">
        <f t="shared" ref="AI67" si="316">AD67*(1+AI68)</f>
        <v>5476.8</v>
      </c>
      <c r="AJ67" s="63">
        <f t="shared" ref="AJ67" si="317">AE67*(1+AJ68)</f>
        <v>5796.0000000000009</v>
      </c>
    </row>
    <row r="68" spans="1:39" x14ac:dyDescent="0.25">
      <c r="A68" s="23" t="s">
        <v>23</v>
      </c>
      <c r="C68" s="7">
        <v>0.16900000000000001</v>
      </c>
      <c r="D68" s="7">
        <v>0.16700000000000001</v>
      </c>
      <c r="E68" s="7">
        <v>0.16700000000000001</v>
      </c>
      <c r="F68" s="7">
        <v>0.193</v>
      </c>
      <c r="G68" s="39"/>
      <c r="H68" s="7">
        <f>H67/C67-1</f>
        <v>0.18995381062355654</v>
      </c>
      <c r="I68" s="7">
        <f t="shared" ref="I68" si="318">I67/D67-1</f>
        <v>0.20297029702970293</v>
      </c>
      <c r="J68" s="7">
        <f t="shared" ref="J68" si="319">J67/E67-1</f>
        <v>0.19450207468879666</v>
      </c>
      <c r="K68" s="7">
        <f t="shared" ref="K68" si="320">K67/F67-1</f>
        <v>0.21178725443219926</v>
      </c>
      <c r="L68" s="39"/>
      <c r="M68" s="7">
        <f>M67/H67-1</f>
        <v>0.20038816108685098</v>
      </c>
      <c r="N68" s="7">
        <f t="shared" ref="N68" si="321">N67/I67-1</f>
        <v>0.24417009602194795</v>
      </c>
      <c r="O68" s="7">
        <f t="shared" ref="O68" si="322">O67/J67-1</f>
        <v>0.27051671732522786</v>
      </c>
      <c r="P68" s="7">
        <f t="shared" ref="P68" si="323">P67/K67-1</f>
        <v>0.21945432977461454</v>
      </c>
      <c r="Q68" s="39"/>
      <c r="R68" s="7">
        <f>R67/M67-1</f>
        <v>0.17784963621665328</v>
      </c>
      <c r="S68" s="7">
        <f t="shared" ref="S68" si="324">S67/N67-1</f>
        <v>-0.14002205071664831</v>
      </c>
      <c r="T68" s="7">
        <f t="shared" ref="T68" si="325">T67/O67-1</f>
        <v>-5.8441558441558406E-2</v>
      </c>
      <c r="U68" s="7">
        <f t="shared" ref="U68" si="326">U67/P67-1</f>
        <v>2.9831387808041399E-2</v>
      </c>
      <c r="V68" s="39"/>
      <c r="W68" s="7">
        <f>W67/R67-1</f>
        <v>8.3047357584076886E-2</v>
      </c>
      <c r="X68" s="7">
        <f t="shared" ref="X68" si="327">X67/S67-1</f>
        <v>0.46709401709401699</v>
      </c>
      <c r="Y68" s="7">
        <f t="shared" ref="Y68" si="328">Y67/T67-1</f>
        <v>0.39963702359346653</v>
      </c>
      <c r="Z68" s="7">
        <f t="shared" ref="Z68" si="329">Z67/U67-1</f>
        <v>0.36775818639798485</v>
      </c>
      <c r="AA68" s="41"/>
      <c r="AB68" s="7">
        <f>AB67/W67-1</f>
        <v>0.37230671736375154</v>
      </c>
      <c r="AC68" s="7">
        <f t="shared" ref="AC68" si="330">AC67/X67-1</f>
        <v>0.35712205068453251</v>
      </c>
      <c r="AD68" s="7">
        <f t="shared" ref="AD68:AE68" si="331">AD67/Y67-1</f>
        <v>0.26815352697095429</v>
      </c>
      <c r="AE68" s="7">
        <f t="shared" si="331"/>
        <v>0.19129834254143652</v>
      </c>
      <c r="AG68" s="8">
        <v>0.15</v>
      </c>
      <c r="AH68" s="8">
        <v>0.12</v>
      </c>
      <c r="AI68" s="8">
        <v>0.12</v>
      </c>
      <c r="AJ68" s="8">
        <v>0.12</v>
      </c>
    </row>
    <row r="69" spans="1:39" x14ac:dyDescent="0.25">
      <c r="A69" s="22" t="s">
        <v>33</v>
      </c>
      <c r="C69" s="16">
        <v>5784</v>
      </c>
      <c r="D69" s="16">
        <v>6251</v>
      </c>
      <c r="E69" s="16">
        <v>6312</v>
      </c>
      <c r="F69" s="16">
        <v>6508</v>
      </c>
      <c r="G69" s="6"/>
      <c r="H69" s="16">
        <v>6354</v>
      </c>
      <c r="I69" s="18">
        <v>6861</v>
      </c>
      <c r="J69" s="18">
        <v>6928</v>
      </c>
      <c r="K69" s="16">
        <v>7242</v>
      </c>
      <c r="L69" s="6"/>
      <c r="M69" s="18">
        <v>6894</v>
      </c>
      <c r="N69" s="18">
        <v>7558</v>
      </c>
      <c r="O69" s="18">
        <v>7745</v>
      </c>
      <c r="P69" s="18">
        <v>7897</v>
      </c>
      <c r="Q69" s="6"/>
      <c r="R69" s="18">
        <v>7342</v>
      </c>
      <c r="S69" s="18">
        <v>6940</v>
      </c>
      <c r="T69" s="18">
        <v>7837</v>
      </c>
      <c r="U69" s="18">
        <v>7988</v>
      </c>
      <c r="V69" s="6"/>
      <c r="W69" s="18">
        <v>7873</v>
      </c>
      <c r="X69" s="18">
        <v>8820</v>
      </c>
      <c r="Y69" s="18">
        <v>9033</v>
      </c>
      <c r="Z69" s="18">
        <v>9338</v>
      </c>
      <c r="AB69" s="18">
        <v>8659</v>
      </c>
      <c r="AC69" s="18">
        <v>9383</v>
      </c>
      <c r="AD69" s="18">
        <v>9534</v>
      </c>
      <c r="AE69" s="18">
        <v>9729</v>
      </c>
      <c r="AG69" s="63">
        <f>AB69*(1+AG70)</f>
        <v>8572.41</v>
      </c>
      <c r="AH69" s="63">
        <f t="shared" ref="AH69" si="332">AC69*(1+AH70)</f>
        <v>8913.85</v>
      </c>
      <c r="AI69" s="63">
        <f t="shared" ref="AI69" si="333">AD69*(1+AI70)</f>
        <v>9057.2999999999993</v>
      </c>
      <c r="AJ69" s="63">
        <f t="shared" ref="AJ69" si="334">AE69*(1+AJ70)</f>
        <v>9437.1299999999992</v>
      </c>
    </row>
    <row r="70" spans="1:39" x14ac:dyDescent="0.25">
      <c r="A70" s="23" t="s">
        <v>23</v>
      </c>
      <c r="C70" s="7">
        <v>2E-3</v>
      </c>
      <c r="D70" s="7">
        <v>1.2999999999999999E-2</v>
      </c>
      <c r="E70" s="7">
        <v>4.2000000000000003E-2</v>
      </c>
      <c r="F70" s="7">
        <v>8.4000000000000005E-2</v>
      </c>
      <c r="G70" s="39"/>
      <c r="H70" s="7">
        <f>H69/C69-1</f>
        <v>9.8547717842323745E-2</v>
      </c>
      <c r="I70" s="7">
        <f t="shared" ref="I70" si="335">I69/D69-1</f>
        <v>9.7584386498160258E-2</v>
      </c>
      <c r="J70" s="7">
        <f t="shared" ref="J70" si="336">J69/E69-1</f>
        <v>9.759188846641309E-2</v>
      </c>
      <c r="K70" s="7">
        <f t="shared" ref="K70" si="337">K69/F69-1</f>
        <v>0.11278426551936072</v>
      </c>
      <c r="L70" s="39"/>
      <c r="M70" s="7">
        <f>M69/H69-1</f>
        <v>8.4985835694050937E-2</v>
      </c>
      <c r="N70" s="7">
        <f t="shared" ref="N70" si="338">N69/I69-1</f>
        <v>0.10158868969537971</v>
      </c>
      <c r="O70" s="7">
        <f t="shared" ref="O70" si="339">O69/J69-1</f>
        <v>0.11792725173210172</v>
      </c>
      <c r="P70" s="7">
        <f t="shared" ref="P70" si="340">P69/K69-1</f>
        <v>9.0444628555647721E-2</v>
      </c>
      <c r="Q70" s="39"/>
      <c r="R70" s="7">
        <f>R69/M69-1</f>
        <v>6.4984044096315641E-2</v>
      </c>
      <c r="S70" s="7">
        <f t="shared" ref="S70" si="341">S69/N69-1</f>
        <v>-8.1767663403016666E-2</v>
      </c>
      <c r="T70" s="7">
        <f t="shared" ref="T70" si="342">T69/O69-1</f>
        <v>1.1878631375080717E-2</v>
      </c>
      <c r="U70" s="7">
        <f t="shared" ref="U70" si="343">U69/P69-1</f>
        <v>1.1523363302520018E-2</v>
      </c>
      <c r="V70" s="39"/>
      <c r="W70" s="7">
        <f>W69/R69-1</f>
        <v>7.232361754290384E-2</v>
      </c>
      <c r="X70" s="7">
        <f t="shared" ref="X70" si="344">X69/S69-1</f>
        <v>0.27089337175792516</v>
      </c>
      <c r="Y70" s="7">
        <f t="shared" ref="Y70" si="345">Y69/T69-1</f>
        <v>0.15260941686869978</v>
      </c>
      <c r="Z70" s="7">
        <f t="shared" ref="Z70" si="346">Z69/U69-1</f>
        <v>0.16900350525788688</v>
      </c>
      <c r="AA70" s="41"/>
      <c r="AB70" s="7">
        <f>AB69/W69-1</f>
        <v>9.9834878699352148E-2</v>
      </c>
      <c r="AC70" s="7">
        <f t="shared" ref="AC70" si="347">AC69/X69-1</f>
        <v>6.3832199546485224E-2</v>
      </c>
      <c r="AD70" s="7">
        <f t="shared" ref="AD70:AE70" si="348">AD69/Y69-1</f>
        <v>5.5463301228827699E-2</v>
      </c>
      <c r="AE70" s="7">
        <f t="shared" si="348"/>
        <v>4.1871921182266014E-2</v>
      </c>
      <c r="AG70" s="8">
        <v>-0.01</v>
      </c>
      <c r="AH70" s="8">
        <v>-0.05</v>
      </c>
      <c r="AI70" s="8">
        <v>-0.05</v>
      </c>
      <c r="AJ70" s="8">
        <v>-0.03</v>
      </c>
      <c r="AM70" t="s">
        <v>388</v>
      </c>
    </row>
    <row r="71" spans="1:39" x14ac:dyDescent="0.25">
      <c r="A71" s="24" t="s">
        <v>38</v>
      </c>
      <c r="C71" s="49">
        <f>SUM(C61,C63,C65,C67,C69)</f>
        <v>17123</v>
      </c>
      <c r="D71" s="49">
        <f t="shared" ref="D71:F71" si="349">SUM(D61,D63,D65,D67,D69)</f>
        <v>18651</v>
      </c>
      <c r="E71" s="49">
        <f t="shared" si="349"/>
        <v>19520</v>
      </c>
      <c r="F71" s="49">
        <f t="shared" si="349"/>
        <v>20543</v>
      </c>
      <c r="G71" s="4"/>
      <c r="H71" s="49">
        <f>SUM(H61,H63,H65,H67,H69)</f>
        <v>20303</v>
      </c>
      <c r="I71" s="49">
        <f t="shared" ref="I71:K71" si="350">SUM(I61,I63,I65,I67,I69)</f>
        <v>22258</v>
      </c>
      <c r="J71" s="49">
        <f t="shared" si="350"/>
        <v>23116</v>
      </c>
      <c r="K71" s="49">
        <f t="shared" si="350"/>
        <v>24717</v>
      </c>
      <c r="L71" s="4"/>
      <c r="M71" s="49">
        <f>SUM(M61,M63,M65,M67,M69)</f>
        <v>23822</v>
      </c>
      <c r="N71" s="49">
        <f t="shared" ref="N71:P71" si="351">SUM(N61,N63,N65,N67,N69)</f>
        <v>26794</v>
      </c>
      <c r="O71" s="49">
        <f t="shared" si="351"/>
        <v>28182</v>
      </c>
      <c r="P71" s="49">
        <f t="shared" si="351"/>
        <v>29378</v>
      </c>
      <c r="Q71" s="4"/>
      <c r="R71" s="49">
        <f>SUM(R61,R63,R65,R67,R69)</f>
        <v>27441</v>
      </c>
      <c r="S71" s="49">
        <f t="shared" ref="S71:U71" si="352">SUM(S61,S63,S65,S67,S69)</f>
        <v>24788</v>
      </c>
      <c r="T71" s="49">
        <f t="shared" si="352"/>
        <v>29820</v>
      </c>
      <c r="U71" s="49">
        <f t="shared" si="352"/>
        <v>30971</v>
      </c>
      <c r="V71" s="4"/>
      <c r="W71" s="49">
        <f>SUM(W61,W63,W65,W67,W69)</f>
        <v>30110</v>
      </c>
      <c r="X71" s="49">
        <f t="shared" ref="X71:AJ71" si="353">SUM(X61,X63,X65,X67,X69)</f>
        <v>34239</v>
      </c>
      <c r="Y71" s="49">
        <f t="shared" si="353"/>
        <v>36832</v>
      </c>
      <c r="Z71" s="49">
        <f t="shared" si="353"/>
        <v>38975</v>
      </c>
      <c r="AB71" s="49">
        <f t="shared" si="353"/>
        <v>33986</v>
      </c>
      <c r="AC71" s="49">
        <f t="shared" si="353"/>
        <v>36802</v>
      </c>
      <c r="AD71" s="49">
        <f t="shared" si="353"/>
        <v>38980</v>
      </c>
      <c r="AE71" s="49">
        <f t="shared" si="353"/>
        <v>40249</v>
      </c>
      <c r="AF71" s="34"/>
      <c r="AG71" s="63">
        <f t="shared" si="353"/>
        <v>35121.53</v>
      </c>
      <c r="AH71" s="63">
        <f t="shared" si="353"/>
        <v>37698.080000000002</v>
      </c>
      <c r="AI71" s="63">
        <f t="shared" si="353"/>
        <v>40401.479999999996</v>
      </c>
      <c r="AJ71" s="63">
        <f t="shared" si="353"/>
        <v>41925.299999999996</v>
      </c>
    </row>
    <row r="72" spans="1:39" x14ac:dyDescent="0.25">
      <c r="A72" s="4" t="s">
        <v>23</v>
      </c>
      <c r="C72" s="10">
        <v>8.2000000000000003E-2</v>
      </c>
      <c r="D72" s="10">
        <v>0.1</v>
      </c>
      <c r="E72" s="10">
        <v>0.156</v>
      </c>
      <c r="F72" s="10">
        <v>0.16700000000000001</v>
      </c>
      <c r="G72" s="6"/>
      <c r="H72" s="10">
        <f>H71/C71-1</f>
        <v>0.18571512001401613</v>
      </c>
      <c r="I72" s="10">
        <f t="shared" ref="I72:K72" si="354">I71/D71-1</f>
        <v>0.19339445606133721</v>
      </c>
      <c r="J72" s="10">
        <f t="shared" si="354"/>
        <v>0.18422131147540988</v>
      </c>
      <c r="K72" s="10">
        <f t="shared" si="354"/>
        <v>0.20318356617826017</v>
      </c>
      <c r="L72" s="6"/>
      <c r="M72" s="10">
        <f>M71/H71-1</f>
        <v>0.1733241392897602</v>
      </c>
      <c r="N72" s="10">
        <f t="shared" ref="N72" si="355">N71/I71-1</f>
        <v>0.20379189504897122</v>
      </c>
      <c r="O72" s="10">
        <f t="shared" ref="O72" si="356">O71/J71-1</f>
        <v>0.21915556324623631</v>
      </c>
      <c r="P72" s="10">
        <f t="shared" ref="P72" si="357">P71/K71-1</f>
        <v>0.18857466521017918</v>
      </c>
      <c r="Q72" s="6"/>
      <c r="R72" s="10">
        <f>R71/M71-1</f>
        <v>0.1519183947611451</v>
      </c>
      <c r="S72" s="10">
        <f t="shared" ref="S72" si="358">S71/N71-1</f>
        <v>-7.4867507650966614E-2</v>
      </c>
      <c r="T72" s="10">
        <f t="shared" ref="T72" si="359">T71/O71-1</f>
        <v>5.8122205663189375E-2</v>
      </c>
      <c r="U72" s="10">
        <f t="shared" ref="U72" si="360">U71/P71-1</f>
        <v>5.4224249438355132E-2</v>
      </c>
      <c r="V72" s="6"/>
      <c r="W72" s="10">
        <f>W71/R71-1</f>
        <v>9.7263219270434798E-2</v>
      </c>
      <c r="X72" s="10">
        <f t="shared" ref="X72" si="361">X71/S71-1</f>
        <v>0.38127319670808446</v>
      </c>
      <c r="Y72" s="10">
        <f t="shared" ref="Y72" si="362">Y71/T71-1</f>
        <v>0.23514419852448021</v>
      </c>
      <c r="Z72" s="10">
        <f t="shared" ref="Z72" si="363">Z71/U71-1</f>
        <v>0.25843531045171297</v>
      </c>
      <c r="AB72" s="10">
        <f>AB71/W71-1</f>
        <v>0.1287279973430755</v>
      </c>
      <c r="AC72" s="10">
        <f t="shared" ref="AC72" si="364">AC71/X71-1</f>
        <v>7.4856158182189825E-2</v>
      </c>
      <c r="AD72" s="10">
        <f t="shared" ref="AD72:AG72" si="365">AD71/Y71-1</f>
        <v>5.8318853171155594E-2</v>
      </c>
      <c r="AE72" s="10">
        <f t="shared" si="365"/>
        <v>3.2687620269403528E-2</v>
      </c>
      <c r="AG72" s="8">
        <f t="shared" si="365"/>
        <v>3.3411698934855405E-2</v>
      </c>
      <c r="AH72" s="8">
        <f t="shared" ref="AH72" si="366">AH71/AC71-1</f>
        <v>2.4348676702353078E-2</v>
      </c>
      <c r="AI72" s="8">
        <f t="shared" ref="AI72" si="367">AI71/AD71-1</f>
        <v>3.6466906105695029E-2</v>
      </c>
      <c r="AJ72" s="8">
        <f t="shared" ref="AJ72" si="368">AJ71/AE71-1</f>
        <v>4.1648239707818613E-2</v>
      </c>
    </row>
    <row r="73" spans="1:39" x14ac:dyDescent="0.25">
      <c r="A73" s="4"/>
      <c r="C73" s="4"/>
      <c r="D73" s="4"/>
      <c r="E73" s="4"/>
      <c r="F73" s="4"/>
      <c r="G73" s="6"/>
      <c r="H73" s="4"/>
      <c r="I73" s="4"/>
      <c r="J73" s="4"/>
      <c r="K73" s="4"/>
      <c r="L73" s="6"/>
      <c r="M73" s="4"/>
      <c r="N73" s="4"/>
      <c r="O73" s="4"/>
      <c r="P73" s="4"/>
      <c r="Q73" s="6"/>
      <c r="R73" s="4"/>
      <c r="S73" s="4"/>
      <c r="T73" s="4"/>
      <c r="U73" s="4"/>
      <c r="V73" s="6"/>
      <c r="W73" s="4"/>
      <c r="X73" s="4"/>
      <c r="Y73" s="4"/>
      <c r="AE73" s="55"/>
    </row>
    <row r="74" spans="1:39" x14ac:dyDescent="0.25">
      <c r="A74" s="33" t="s">
        <v>65</v>
      </c>
      <c r="C74" s="4"/>
      <c r="D74" s="4"/>
      <c r="E74" s="4"/>
      <c r="F74" s="4"/>
      <c r="G74" s="6"/>
      <c r="H74" s="4"/>
      <c r="I74" s="4"/>
      <c r="J74" s="4"/>
      <c r="K74" s="4"/>
      <c r="L74" s="6"/>
      <c r="M74" s="4"/>
      <c r="N74" s="4"/>
      <c r="O74" s="4"/>
      <c r="P74" s="4"/>
      <c r="Q74" s="6"/>
      <c r="R74" s="4"/>
      <c r="S74" s="4"/>
      <c r="T74" s="4"/>
      <c r="U74" s="4"/>
      <c r="V74" s="6"/>
      <c r="W74" s="4"/>
      <c r="X74" s="4"/>
      <c r="Y74" s="4"/>
      <c r="AE74" s="55"/>
    </row>
    <row r="75" spans="1:39" x14ac:dyDescent="0.25">
      <c r="A75" s="22" t="s">
        <v>29</v>
      </c>
      <c r="C75" s="16">
        <v>1258</v>
      </c>
      <c r="D75" s="16">
        <v>1329</v>
      </c>
      <c r="E75" s="16">
        <v>1369</v>
      </c>
      <c r="F75" s="16">
        <v>1466</v>
      </c>
      <c r="G75" s="6"/>
      <c r="H75" s="16">
        <v>1478</v>
      </c>
      <c r="I75" s="18">
        <v>1522</v>
      </c>
      <c r="J75" s="18">
        <v>1554</v>
      </c>
      <c r="K75" s="16">
        <v>1670</v>
      </c>
      <c r="L75" s="6"/>
      <c r="M75" s="18">
        <v>1665</v>
      </c>
      <c r="N75" s="18">
        <v>1705</v>
      </c>
      <c r="O75" s="18">
        <v>1715</v>
      </c>
      <c r="P75" s="18">
        <v>1799</v>
      </c>
      <c r="Q75" s="6"/>
      <c r="R75" s="18">
        <v>1722</v>
      </c>
      <c r="S75" s="18">
        <v>1311</v>
      </c>
      <c r="T75" s="18">
        <v>1537</v>
      </c>
      <c r="U75" s="18">
        <v>1629</v>
      </c>
      <c r="V75" s="6"/>
      <c r="W75" s="18">
        <v>1556</v>
      </c>
      <c r="X75" s="18">
        <v>1510</v>
      </c>
      <c r="Y75" s="18">
        <v>1527</v>
      </c>
      <c r="Z75" s="18">
        <v>1613</v>
      </c>
      <c r="AB75" s="18">
        <v>1505</v>
      </c>
      <c r="AC75" s="18">
        <v>1531</v>
      </c>
      <c r="AD75" s="18">
        <v>1542</v>
      </c>
      <c r="AE75" s="18">
        <v>1554</v>
      </c>
      <c r="AG75" s="63">
        <f>AB75*(1+AG76)</f>
        <v>1474.8999999999999</v>
      </c>
      <c r="AH75" s="63">
        <f t="shared" ref="AH75" si="369">AC75*(1+AH76)</f>
        <v>1500.3799999999999</v>
      </c>
      <c r="AI75" s="63">
        <f t="shared" ref="AI75" si="370">AD75*(1+AI76)</f>
        <v>1619.1000000000001</v>
      </c>
      <c r="AJ75" s="63">
        <f t="shared" ref="AJ75" si="371">AE75*(1+AJ76)</f>
        <v>1631.7</v>
      </c>
    </row>
    <row r="76" spans="1:39" x14ac:dyDescent="0.25">
      <c r="A76" s="23" t="s">
        <v>23</v>
      </c>
      <c r="C76" s="7">
        <v>3.2000000000000001E-2</v>
      </c>
      <c r="D76" s="7">
        <v>5.6000000000000001E-2</v>
      </c>
      <c r="E76" s="7">
        <v>5.5E-2</v>
      </c>
      <c r="F76" s="7">
        <v>0.14399999999999999</v>
      </c>
      <c r="G76" s="39"/>
      <c r="H76" s="7">
        <f>H75/C75-1</f>
        <v>0.17488076311605716</v>
      </c>
      <c r="I76" s="7">
        <f t="shared" ref="I76" si="372">I75/D75-1</f>
        <v>0.14522197140707305</v>
      </c>
      <c r="J76" s="7">
        <f t="shared" ref="J76" si="373">J75/E75-1</f>
        <v>0.13513513513513509</v>
      </c>
      <c r="K76" s="7">
        <f t="shared" ref="K76" si="374">K75/F75-1</f>
        <v>0.13915416098226463</v>
      </c>
      <c r="L76" s="39"/>
      <c r="M76" s="7">
        <f>M75/H75-1</f>
        <v>0.1265223274695535</v>
      </c>
      <c r="N76" s="7">
        <f t="shared" ref="N76" si="375">N75/I75-1</f>
        <v>0.12023653088042052</v>
      </c>
      <c r="O76" s="7">
        <f t="shared" ref="O76" si="376">O75/J75-1</f>
        <v>0.10360360360360366</v>
      </c>
      <c r="P76" s="7">
        <f t="shared" ref="P76" si="377">P75/K75-1</f>
        <v>7.724550898203586E-2</v>
      </c>
      <c r="Q76" s="39"/>
      <c r="R76" s="7">
        <f>R75/M75-1</f>
        <v>3.4234234234234329E-2</v>
      </c>
      <c r="S76" s="7">
        <f t="shared" ref="S76" si="378">S75/N75-1</f>
        <v>-0.23108504398826979</v>
      </c>
      <c r="T76" s="7">
        <f t="shared" ref="T76" si="379">T75/O75-1</f>
        <v>-0.10379008746355689</v>
      </c>
      <c r="U76" s="7">
        <f t="shared" ref="U76" si="380">U75/P75-1</f>
        <v>-9.4496942745969981E-2</v>
      </c>
      <c r="V76" s="39"/>
      <c r="W76" s="7">
        <f>W75/R75-1</f>
        <v>-9.6399535423925653E-2</v>
      </c>
      <c r="X76" s="7">
        <f t="shared" ref="X76" si="381">X75/S75-1</f>
        <v>0.15179252479023653</v>
      </c>
      <c r="Y76" s="7">
        <f t="shared" ref="Y76" si="382">Y75/T75-1</f>
        <v>-6.5061808718281933E-3</v>
      </c>
      <c r="Z76" s="7">
        <f t="shared" ref="Z76" si="383">Z75/U75-1</f>
        <v>-9.821976672805377E-3</v>
      </c>
      <c r="AA76" s="41"/>
      <c r="AB76" s="7">
        <f>AB75/W75-1</f>
        <v>-3.2776349614395905E-2</v>
      </c>
      <c r="AC76" s="7">
        <f t="shared" ref="AC76" si="384">AC75/X75-1</f>
        <v>1.3907284768212014E-2</v>
      </c>
      <c r="AD76" s="7">
        <f t="shared" ref="AD76:AE76" si="385">AD75/Y75-1</f>
        <v>9.8231827111985304E-3</v>
      </c>
      <c r="AE76" s="7">
        <f t="shared" si="385"/>
        <v>-3.6577805331680091E-2</v>
      </c>
      <c r="AG76" s="8">
        <v>-0.02</v>
      </c>
      <c r="AH76" s="8">
        <v>-0.02</v>
      </c>
      <c r="AI76" s="8">
        <v>0.05</v>
      </c>
      <c r="AJ76" s="8">
        <v>0.05</v>
      </c>
    </row>
    <row r="77" spans="1:39" x14ac:dyDescent="0.25">
      <c r="A77" s="22" t="s">
        <v>30</v>
      </c>
      <c r="C77" s="14">
        <v>6</v>
      </c>
      <c r="D77" s="14">
        <v>6</v>
      </c>
      <c r="E77" s="14">
        <v>6</v>
      </c>
      <c r="F77" s="14">
        <v>5</v>
      </c>
      <c r="G77" s="6"/>
      <c r="H77" s="14">
        <v>6</v>
      </c>
      <c r="I77" s="15">
        <v>6</v>
      </c>
      <c r="J77" s="15">
        <v>6</v>
      </c>
      <c r="K77" s="14">
        <v>6</v>
      </c>
      <c r="L77" s="6"/>
      <c r="M77" s="15">
        <v>6</v>
      </c>
      <c r="N77" s="15">
        <v>6</v>
      </c>
      <c r="O77" s="15">
        <v>6</v>
      </c>
      <c r="P77" s="15">
        <v>6</v>
      </c>
      <c r="Q77" s="6"/>
      <c r="R77" s="15">
        <v>5</v>
      </c>
      <c r="S77" s="15">
        <v>4</v>
      </c>
      <c r="T77" s="15">
        <v>4</v>
      </c>
      <c r="U77" s="15">
        <v>4</v>
      </c>
      <c r="V77" s="6"/>
      <c r="W77" s="15">
        <v>4</v>
      </c>
      <c r="X77" s="15">
        <v>4</v>
      </c>
      <c r="Y77" s="15">
        <v>5</v>
      </c>
      <c r="Z77" s="15">
        <v>5</v>
      </c>
      <c r="AB77" s="15">
        <v>5</v>
      </c>
      <c r="AC77" s="15">
        <v>6</v>
      </c>
      <c r="AD77" s="15">
        <v>6</v>
      </c>
      <c r="AE77" s="15">
        <v>6</v>
      </c>
      <c r="AG77" s="63">
        <v>6</v>
      </c>
      <c r="AH77" s="63">
        <v>6</v>
      </c>
      <c r="AI77" s="63">
        <v>6</v>
      </c>
      <c r="AJ77" s="63">
        <v>6</v>
      </c>
    </row>
    <row r="78" spans="1:39" x14ac:dyDescent="0.25">
      <c r="A78" s="24" t="s">
        <v>23</v>
      </c>
      <c r="C78" s="10">
        <v>0.2</v>
      </c>
      <c r="D78" s="10">
        <v>0</v>
      </c>
      <c r="E78" s="10">
        <v>0</v>
      </c>
      <c r="F78" s="10">
        <v>0</v>
      </c>
      <c r="G78" s="6"/>
      <c r="H78" s="10">
        <f>H77/C77-1</f>
        <v>0</v>
      </c>
      <c r="I78" s="10">
        <f t="shared" ref="I78" si="386">I77/D77-1</f>
        <v>0</v>
      </c>
      <c r="J78" s="10">
        <f t="shared" ref="J78" si="387">J77/E77-1</f>
        <v>0</v>
      </c>
      <c r="K78" s="10">
        <f t="shared" ref="K78" si="388">K77/F77-1</f>
        <v>0.19999999999999996</v>
      </c>
      <c r="L78" s="6"/>
      <c r="M78" s="10">
        <f>M77/H77-1</f>
        <v>0</v>
      </c>
      <c r="N78" s="10">
        <f t="shared" ref="N78" si="389">N77/I77-1</f>
        <v>0</v>
      </c>
      <c r="O78" s="10">
        <f t="shared" ref="O78" si="390">O77/J77-1</f>
        <v>0</v>
      </c>
      <c r="P78" s="10">
        <f t="shared" ref="P78" si="391">P77/K77-1</f>
        <v>0</v>
      </c>
      <c r="Q78" s="6"/>
      <c r="R78" s="10">
        <f>R77/M77-1</f>
        <v>-0.16666666666666663</v>
      </c>
      <c r="S78" s="10">
        <f t="shared" ref="S78" si="392">S77/N77-1</f>
        <v>-0.33333333333333337</v>
      </c>
      <c r="T78" s="10">
        <f t="shared" ref="T78" si="393">T77/O77-1</f>
        <v>-0.33333333333333337</v>
      </c>
      <c r="U78" s="10">
        <f t="shared" ref="U78" si="394">U77/P77-1</f>
        <v>-0.33333333333333337</v>
      </c>
      <c r="V78" s="6"/>
      <c r="W78" s="10">
        <f>W77/R77-1</f>
        <v>-0.19999999999999996</v>
      </c>
      <c r="X78" s="10">
        <f t="shared" ref="X78" si="395">X77/S77-1</f>
        <v>0</v>
      </c>
      <c r="Y78" s="10">
        <f t="shared" ref="Y78" si="396">Y77/T77-1</f>
        <v>0.25</v>
      </c>
      <c r="Z78" s="10">
        <f t="shared" ref="Z78" si="397">Z77/U77-1</f>
        <v>0.25</v>
      </c>
      <c r="AB78" s="10">
        <f>AB77/W77-1</f>
        <v>0.25</v>
      </c>
      <c r="AC78" s="10">
        <f t="shared" ref="AC78" si="398">AC77/X77-1</f>
        <v>0.5</v>
      </c>
      <c r="AD78" s="10">
        <f t="shared" ref="AD78" si="399">AD77/Y77-1</f>
        <v>0.19999999999999996</v>
      </c>
      <c r="AE78" s="10">
        <f>AE77/Z77-1</f>
        <v>0.19999999999999996</v>
      </c>
      <c r="AG78" s="8">
        <f t="shared" ref="AG78" si="400">AG77/AB77-1</f>
        <v>0.19999999999999996</v>
      </c>
      <c r="AH78" s="8">
        <f t="shared" ref="AH78" si="401">AH77/AC77-1</f>
        <v>0</v>
      </c>
      <c r="AI78" s="8">
        <f t="shared" ref="AI78" si="402">AI77/AD77-1</f>
        <v>0</v>
      </c>
      <c r="AJ78" s="8">
        <f t="shared" ref="AJ78" si="403">AJ77/AE77-1</f>
        <v>0</v>
      </c>
    </row>
    <row r="79" spans="1:39" x14ac:dyDescent="0.25">
      <c r="A79" s="22" t="s">
        <v>31</v>
      </c>
      <c r="C79" s="14">
        <v>863</v>
      </c>
      <c r="D79" s="14">
        <v>648</v>
      </c>
      <c r="E79" s="14">
        <v>972</v>
      </c>
      <c r="F79" s="14">
        <v>998</v>
      </c>
      <c r="G79" s="6"/>
      <c r="H79" s="14">
        <v>936</v>
      </c>
      <c r="I79" s="18">
        <v>1044</v>
      </c>
      <c r="J79" s="18">
        <v>1056</v>
      </c>
      <c r="K79" s="16">
        <v>1101</v>
      </c>
      <c r="L79" s="6"/>
      <c r="M79" s="18">
        <v>1044</v>
      </c>
      <c r="N79" s="18">
        <v>1171</v>
      </c>
      <c r="O79" s="18">
        <v>1194</v>
      </c>
      <c r="P79" s="18">
        <v>1210</v>
      </c>
      <c r="Q79" s="6"/>
      <c r="R79" s="18">
        <v>1059</v>
      </c>
      <c r="S79" s="15">
        <v>846</v>
      </c>
      <c r="T79" s="18">
        <v>1062</v>
      </c>
      <c r="U79" s="18">
        <v>1000</v>
      </c>
      <c r="V79" s="6"/>
      <c r="W79" s="15">
        <v>908</v>
      </c>
      <c r="X79" s="18">
        <v>1047</v>
      </c>
      <c r="Y79" s="15">
        <v>1122</v>
      </c>
      <c r="Z79" s="15">
        <v>1104</v>
      </c>
      <c r="AB79" s="15">
        <v>899</v>
      </c>
      <c r="AC79" s="15">
        <v>984</v>
      </c>
      <c r="AD79" s="15">
        <v>1003</v>
      </c>
      <c r="AE79" s="15">
        <v>993</v>
      </c>
      <c r="AG79" s="63">
        <f>AB79*(1+AG80)</f>
        <v>899</v>
      </c>
      <c r="AH79" s="63">
        <f t="shared" ref="AH79:AJ79" si="404">AC79*(1+AH80)</f>
        <v>1003.6800000000001</v>
      </c>
      <c r="AI79" s="63">
        <f t="shared" si="404"/>
        <v>1023.0600000000001</v>
      </c>
      <c r="AJ79" s="63">
        <f t="shared" si="404"/>
        <v>1012.86</v>
      </c>
    </row>
    <row r="80" spans="1:39" x14ac:dyDescent="0.25">
      <c r="A80" s="23" t="s">
        <v>23</v>
      </c>
      <c r="C80" s="7">
        <v>8.4000000000000005E-2</v>
      </c>
      <c r="D80" s="7">
        <v>-0.27</v>
      </c>
      <c r="E80" s="7">
        <v>5.7000000000000002E-2</v>
      </c>
      <c r="F80" s="7">
        <v>7.2999999999999995E-2</v>
      </c>
      <c r="G80" s="39"/>
      <c r="H80" s="7">
        <f>H79/C79-1</f>
        <v>8.4588644264194768E-2</v>
      </c>
      <c r="I80" s="7">
        <f t="shared" ref="I80" si="405">I79/D79-1</f>
        <v>0.61111111111111116</v>
      </c>
      <c r="J80" s="7">
        <f t="shared" ref="J80" si="406">J79/E79-1</f>
        <v>8.6419753086419693E-2</v>
      </c>
      <c r="K80" s="7">
        <f t="shared" ref="K80" si="407">K79/F79-1</f>
        <v>0.10320641282565135</v>
      </c>
      <c r="L80" s="39"/>
      <c r="M80" s="7">
        <f>M79/H79-1</f>
        <v>0.11538461538461542</v>
      </c>
      <c r="N80" s="7">
        <f t="shared" ref="N80" si="408">N79/I79-1</f>
        <v>0.12164750957854409</v>
      </c>
      <c r="O80" s="7">
        <f t="shared" ref="O80" si="409">O79/J79-1</f>
        <v>0.13068181818181812</v>
      </c>
      <c r="P80" s="7">
        <f t="shared" ref="P80" si="410">P79/K79-1</f>
        <v>9.9000908265213461E-2</v>
      </c>
      <c r="Q80" s="39"/>
      <c r="R80" s="7">
        <f>R79/M79-1</f>
        <v>1.4367816091954033E-2</v>
      </c>
      <c r="S80" s="7">
        <f t="shared" ref="S80" si="411">S79/N79-1</f>
        <v>-0.2775405636208369</v>
      </c>
      <c r="T80" s="7">
        <f t="shared" ref="T80" si="412">T79/O79-1</f>
        <v>-0.11055276381909551</v>
      </c>
      <c r="U80" s="7">
        <f t="shared" ref="U80" si="413">U79/P79-1</f>
        <v>-0.17355371900826444</v>
      </c>
      <c r="V80" s="39"/>
      <c r="W80" s="7">
        <f>W79/R79-1</f>
        <v>-0.14258734655335226</v>
      </c>
      <c r="X80" s="7">
        <f t="shared" ref="X80" si="414">X79/S79-1</f>
        <v>0.23758865248226946</v>
      </c>
      <c r="Y80" s="7">
        <f t="shared" ref="Y80" si="415">Y79/T79-1</f>
        <v>5.6497175141242861E-2</v>
      </c>
      <c r="Z80" s="7">
        <f t="shared" ref="Z80" si="416">Z79/U79-1</f>
        <v>0.10400000000000009</v>
      </c>
      <c r="AA80" s="41"/>
      <c r="AB80" s="7">
        <f>AB79/W79-1</f>
        <v>-9.9118942731277748E-3</v>
      </c>
      <c r="AC80" s="7">
        <f t="shared" ref="AC80" si="417">AC79/X79-1</f>
        <v>-6.017191977077363E-2</v>
      </c>
      <c r="AD80" s="7">
        <f t="shared" ref="AD80:AE80" si="418">AD79/Y79-1</f>
        <v>-0.10606060606060608</v>
      </c>
      <c r="AE80" s="7">
        <f t="shared" si="418"/>
        <v>-0.10054347826086951</v>
      </c>
      <c r="AG80" s="8">
        <v>0</v>
      </c>
      <c r="AH80" s="8">
        <v>0.02</v>
      </c>
      <c r="AI80" s="8">
        <v>0.02</v>
      </c>
      <c r="AJ80" s="8">
        <v>0.02</v>
      </c>
    </row>
    <row r="81" spans="1:36" x14ac:dyDescent="0.25">
      <c r="A81" s="22" t="s">
        <v>32</v>
      </c>
      <c r="C81" s="14">
        <v>252</v>
      </c>
      <c r="D81" s="14">
        <v>261</v>
      </c>
      <c r="E81" s="14">
        <v>262</v>
      </c>
      <c r="F81" s="14">
        <v>278</v>
      </c>
      <c r="G81" s="6"/>
      <c r="H81" s="14">
        <v>264</v>
      </c>
      <c r="I81" s="15">
        <v>271</v>
      </c>
      <c r="J81" s="15">
        <v>272</v>
      </c>
      <c r="K81" s="14">
        <v>297</v>
      </c>
      <c r="L81" s="6"/>
      <c r="M81" s="15">
        <v>278</v>
      </c>
      <c r="N81" s="15">
        <v>298</v>
      </c>
      <c r="O81" s="15">
        <v>301</v>
      </c>
      <c r="P81" s="15">
        <v>320</v>
      </c>
      <c r="Q81" s="6"/>
      <c r="R81" s="15">
        <v>288</v>
      </c>
      <c r="S81" s="15">
        <v>219</v>
      </c>
      <c r="T81" s="15">
        <v>244</v>
      </c>
      <c r="U81" s="15">
        <v>284</v>
      </c>
      <c r="V81" s="6"/>
      <c r="W81" s="15">
        <v>276</v>
      </c>
      <c r="X81" s="15">
        <v>291</v>
      </c>
      <c r="Y81" s="15">
        <v>321</v>
      </c>
      <c r="Z81" s="15">
        <v>364</v>
      </c>
      <c r="AB81" s="15">
        <v>349</v>
      </c>
      <c r="AC81" s="15">
        <v>378</v>
      </c>
      <c r="AD81" s="15">
        <v>394</v>
      </c>
      <c r="AE81" s="15">
        <v>421</v>
      </c>
      <c r="AG81" s="63">
        <f>AB81*(1+AG82)</f>
        <v>401.34999999999997</v>
      </c>
      <c r="AH81" s="63">
        <f t="shared" ref="AH81:AJ81" si="419">AC81*(1+AH82)</f>
        <v>434.7</v>
      </c>
      <c r="AI81" s="63">
        <f t="shared" si="419"/>
        <v>453.09999999999997</v>
      </c>
      <c r="AJ81" s="63">
        <f t="shared" si="419"/>
        <v>484.15</v>
      </c>
    </row>
    <row r="82" spans="1:36" x14ac:dyDescent="0.25">
      <c r="A82" s="23" t="s">
        <v>23</v>
      </c>
      <c r="C82" s="7">
        <v>5.8999999999999997E-2</v>
      </c>
      <c r="D82" s="7">
        <v>5.1999999999999998E-2</v>
      </c>
      <c r="E82" s="7">
        <v>0.04</v>
      </c>
      <c r="F82" s="7">
        <v>5.2999999999999999E-2</v>
      </c>
      <c r="G82" s="39"/>
      <c r="H82" s="7">
        <f>H81/C81-1</f>
        <v>4.7619047619047672E-2</v>
      </c>
      <c r="I82" s="7">
        <f t="shared" ref="I82" si="420">I81/D81-1</f>
        <v>3.8314176245210829E-2</v>
      </c>
      <c r="J82" s="7">
        <f t="shared" ref="J82" si="421">J81/E81-1</f>
        <v>3.8167938931297662E-2</v>
      </c>
      <c r="K82" s="7">
        <f t="shared" ref="K82" si="422">K81/F81-1</f>
        <v>6.8345323741007213E-2</v>
      </c>
      <c r="L82" s="39"/>
      <c r="M82" s="7">
        <f>M81/H81-1</f>
        <v>5.3030303030302983E-2</v>
      </c>
      <c r="N82" s="7">
        <f t="shared" ref="N82" si="423">N81/I81-1</f>
        <v>9.9630996309963082E-2</v>
      </c>
      <c r="O82" s="7">
        <f t="shared" ref="O82" si="424">O81/J81-1</f>
        <v>0.10661764705882359</v>
      </c>
      <c r="P82" s="7">
        <f t="shared" ref="P82" si="425">P81/K81-1</f>
        <v>7.7441077441077422E-2</v>
      </c>
      <c r="Q82" s="39"/>
      <c r="R82" s="7">
        <f>R81/M81-1</f>
        <v>3.5971223021582732E-2</v>
      </c>
      <c r="S82" s="7">
        <f t="shared" ref="S82" si="426">S81/N81-1</f>
        <v>-0.2651006711409396</v>
      </c>
      <c r="T82" s="7">
        <f t="shared" ref="T82" si="427">T81/O81-1</f>
        <v>-0.18936877076411962</v>
      </c>
      <c r="U82" s="7">
        <f t="shared" ref="U82" si="428">U81/P81-1</f>
        <v>-0.11250000000000004</v>
      </c>
      <c r="V82" s="39"/>
      <c r="W82" s="7">
        <f>W81/R81-1</f>
        <v>-4.166666666666663E-2</v>
      </c>
      <c r="X82" s="7">
        <f t="shared" ref="X82" si="429">X81/S81-1</f>
        <v>0.32876712328767121</v>
      </c>
      <c r="Y82" s="7">
        <f t="shared" ref="Y82" si="430">Y81/T81-1</f>
        <v>0.31557377049180335</v>
      </c>
      <c r="Z82" s="7">
        <f t="shared" ref="Z82" si="431">Z81/U81-1</f>
        <v>0.28169014084507049</v>
      </c>
      <c r="AA82" s="41"/>
      <c r="AB82" s="7">
        <f>AB81/W81-1</f>
        <v>0.26449275362318847</v>
      </c>
      <c r="AC82" s="7">
        <f t="shared" ref="AC82" si="432">AC81/X81-1</f>
        <v>0.2989690721649485</v>
      </c>
      <c r="AD82" s="7">
        <f t="shared" ref="AD82:AE82" si="433">AD81/Y81-1</f>
        <v>0.22741433021806845</v>
      </c>
      <c r="AE82" s="7">
        <f t="shared" si="433"/>
        <v>0.1565934065934067</v>
      </c>
      <c r="AG82" s="8">
        <v>0.15</v>
      </c>
      <c r="AH82" s="8">
        <v>0.15</v>
      </c>
      <c r="AI82" s="8">
        <v>0.15</v>
      </c>
      <c r="AJ82" s="8">
        <v>0.15</v>
      </c>
    </row>
    <row r="83" spans="1:36" x14ac:dyDescent="0.25">
      <c r="A83" s="22" t="s">
        <v>33</v>
      </c>
      <c r="C83" s="14">
        <v>322</v>
      </c>
      <c r="D83" s="14">
        <v>338</v>
      </c>
      <c r="E83" s="14">
        <v>345</v>
      </c>
      <c r="F83" s="14">
        <v>326</v>
      </c>
      <c r="G83" s="6"/>
      <c r="H83" s="14">
        <v>327</v>
      </c>
      <c r="I83" s="15">
        <v>339</v>
      </c>
      <c r="J83" s="15">
        <v>337</v>
      </c>
      <c r="K83" s="14">
        <v>329</v>
      </c>
      <c r="L83" s="6"/>
      <c r="M83" s="15">
        <v>323</v>
      </c>
      <c r="N83" s="15">
        <v>337</v>
      </c>
      <c r="O83" s="15">
        <v>339</v>
      </c>
      <c r="P83" s="15">
        <v>323</v>
      </c>
      <c r="Q83" s="6"/>
      <c r="R83" s="15">
        <v>306</v>
      </c>
      <c r="S83" s="15">
        <v>285</v>
      </c>
      <c r="T83" s="15">
        <v>321</v>
      </c>
      <c r="U83" s="15">
        <v>295</v>
      </c>
      <c r="V83" s="6"/>
      <c r="W83" s="15">
        <v>314</v>
      </c>
      <c r="X83" s="15">
        <v>332</v>
      </c>
      <c r="Y83" s="15">
        <v>319</v>
      </c>
      <c r="Z83" s="15">
        <v>299</v>
      </c>
      <c r="AB83" s="15">
        <v>280</v>
      </c>
      <c r="AC83" s="15">
        <v>296</v>
      </c>
      <c r="AD83" s="15">
        <v>298</v>
      </c>
      <c r="AE83" s="15">
        <v>284</v>
      </c>
      <c r="AG83" s="63">
        <f>AB83*(1+AG84)</f>
        <v>274.39999999999998</v>
      </c>
      <c r="AH83" s="63">
        <f t="shared" ref="AH83" si="434">AC83*(1+AH84)</f>
        <v>293.04000000000002</v>
      </c>
      <c r="AI83" s="63">
        <f t="shared" ref="AI83" si="435">AD83*(1+AI84)</f>
        <v>295.02</v>
      </c>
      <c r="AJ83" s="63">
        <f t="shared" ref="AJ83" si="436">AE83*(1+AJ84)</f>
        <v>285.41999999999996</v>
      </c>
    </row>
    <row r="84" spans="1:36" x14ac:dyDescent="0.25">
      <c r="A84" s="23" t="s">
        <v>23</v>
      </c>
      <c r="C84" s="7">
        <v>-4.4999999999999998E-2</v>
      </c>
      <c r="D84" s="7">
        <v>-3.6999999999999998E-2</v>
      </c>
      <c r="E84" s="7">
        <v>-1.7000000000000001E-2</v>
      </c>
      <c r="F84" s="7">
        <v>0</v>
      </c>
      <c r="G84" s="39"/>
      <c r="H84" s="7">
        <f>H83/C83-1</f>
        <v>1.552795031055898E-2</v>
      </c>
      <c r="I84" s="7">
        <f t="shared" ref="I84" si="437">I83/D83-1</f>
        <v>2.9585798816567088E-3</v>
      </c>
      <c r="J84" s="7">
        <f t="shared" ref="J84" si="438">J83/E83-1</f>
        <v>-2.3188405797101463E-2</v>
      </c>
      <c r="K84" s="7">
        <f t="shared" ref="K84" si="439">K83/F83-1</f>
        <v>9.2024539877300082E-3</v>
      </c>
      <c r="L84" s="39"/>
      <c r="M84" s="7">
        <f>M83/H83-1</f>
        <v>-1.2232415902140636E-2</v>
      </c>
      <c r="N84" s="7">
        <f t="shared" ref="N84" si="440">N83/I83-1</f>
        <v>-5.8997050147492347E-3</v>
      </c>
      <c r="O84" s="7">
        <f t="shared" ref="O84" si="441">O83/J83-1</f>
        <v>5.9347181008901906E-3</v>
      </c>
      <c r="P84" s="7">
        <f t="shared" ref="P84" si="442">P83/K83-1</f>
        <v>-1.8237082066869248E-2</v>
      </c>
      <c r="Q84" s="39"/>
      <c r="R84" s="7">
        <f>R83/M83-1</f>
        <v>-5.2631578947368474E-2</v>
      </c>
      <c r="S84" s="7">
        <f t="shared" ref="S84" si="443">S83/N83-1</f>
        <v>-0.1543026706231454</v>
      </c>
      <c r="T84" s="7">
        <f t="shared" ref="T84" si="444">T83/O83-1</f>
        <v>-5.3097345132743334E-2</v>
      </c>
      <c r="U84" s="7">
        <f t="shared" ref="U84" si="445">U83/P83-1</f>
        <v>-8.6687306501547989E-2</v>
      </c>
      <c r="V84" s="39"/>
      <c r="W84" s="7">
        <f>W83/R83-1</f>
        <v>2.614379084967311E-2</v>
      </c>
      <c r="X84" s="7">
        <f t="shared" ref="X84" si="446">X83/S83-1</f>
        <v>0.16491228070175445</v>
      </c>
      <c r="Y84" s="7">
        <f t="shared" ref="Y84" si="447">Y83/T83-1</f>
        <v>-6.230529595015577E-3</v>
      </c>
      <c r="Z84" s="7">
        <f t="shared" ref="Z84" si="448">Z83/U83-1</f>
        <v>1.3559322033898313E-2</v>
      </c>
      <c r="AA84" s="41"/>
      <c r="AB84" s="7">
        <f>AB83/W83-1</f>
        <v>-0.10828025477707004</v>
      </c>
      <c r="AC84" s="7">
        <f t="shared" ref="AC84" si="449">AC83/X83-1</f>
        <v>-0.10843373493975905</v>
      </c>
      <c r="AD84" s="7">
        <f t="shared" ref="AD84:AE84" si="450">AD83/Y83-1</f>
        <v>-6.5830721003134807E-2</v>
      </c>
      <c r="AE84" s="7">
        <f t="shared" si="450"/>
        <v>-5.0167224080267525E-2</v>
      </c>
      <c r="AG84" s="8">
        <v>-0.02</v>
      </c>
      <c r="AH84" s="8">
        <v>-0.01</v>
      </c>
      <c r="AI84" s="8">
        <v>-0.01</v>
      </c>
      <c r="AJ84" s="8">
        <v>5.0000000000000001E-3</v>
      </c>
    </row>
    <row r="85" spans="1:36" x14ac:dyDescent="0.25">
      <c r="A85" s="22" t="s">
        <v>38</v>
      </c>
      <c r="C85" s="16">
        <f>SUM(C75,C77,C79,C81,C83)</f>
        <v>2701</v>
      </c>
      <c r="D85" s="16">
        <f t="shared" ref="D85:F85" si="451">SUM(D75,D77,D79,D81,D83)</f>
        <v>2582</v>
      </c>
      <c r="E85" s="16">
        <f t="shared" si="451"/>
        <v>2954</v>
      </c>
      <c r="F85" s="16">
        <f t="shared" si="451"/>
        <v>3073</v>
      </c>
      <c r="G85" s="4"/>
      <c r="H85" s="16">
        <f>SUM(H75,H77,H79,H81,H83)</f>
        <v>3011</v>
      </c>
      <c r="I85" s="16">
        <f t="shared" ref="I85:K85" si="452">SUM(I75,I77,I79,I81,I83)</f>
        <v>3182</v>
      </c>
      <c r="J85" s="16">
        <f t="shared" si="452"/>
        <v>3225</v>
      </c>
      <c r="K85" s="16">
        <f t="shared" si="452"/>
        <v>3403</v>
      </c>
      <c r="L85" s="4"/>
      <c r="M85" s="16">
        <f>SUM(M75,M77,M79,M81,M83)</f>
        <v>3316</v>
      </c>
      <c r="N85" s="16">
        <f t="shared" ref="N85:P85" si="453">SUM(N75,N77,N79,N81,N83)</f>
        <v>3517</v>
      </c>
      <c r="O85" s="16">
        <f t="shared" si="453"/>
        <v>3555</v>
      </c>
      <c r="P85" s="16">
        <f t="shared" si="453"/>
        <v>3658</v>
      </c>
      <c r="Q85" s="4"/>
      <c r="R85" s="16">
        <f>SUM(R75,R77,R79,R81,R83)</f>
        <v>3380</v>
      </c>
      <c r="S85" s="16">
        <f t="shared" ref="S85:U85" si="454">SUM(S75,S77,S79,S81,S83)</f>
        <v>2665</v>
      </c>
      <c r="T85" s="16">
        <f t="shared" si="454"/>
        <v>3168</v>
      </c>
      <c r="U85" s="16">
        <f t="shared" si="454"/>
        <v>3212</v>
      </c>
      <c r="V85" s="4"/>
      <c r="W85" s="16">
        <f>SUM(W75,W77,W79,W81,W83)</f>
        <v>3058</v>
      </c>
      <c r="X85" s="16">
        <f t="shared" ref="X85:Z85" si="455">SUM(X75,X77,X79,X81,X83)</f>
        <v>3184</v>
      </c>
      <c r="Y85" s="16">
        <f t="shared" si="455"/>
        <v>3294</v>
      </c>
      <c r="Z85" s="16">
        <f t="shared" si="455"/>
        <v>3385</v>
      </c>
      <c r="AB85" s="16">
        <f>SUM(AB75,AB77,AB79,AB81,AB83)</f>
        <v>3038</v>
      </c>
      <c r="AC85" s="16">
        <f t="shared" ref="AC85:AJ85" si="456">SUM(AC75,AC77,AC79,AC81,AC83)</f>
        <v>3195</v>
      </c>
      <c r="AD85" s="16">
        <f t="shared" si="456"/>
        <v>3243</v>
      </c>
      <c r="AE85" s="16">
        <f t="shared" si="456"/>
        <v>3258</v>
      </c>
      <c r="AF85" s="61"/>
      <c r="AG85" s="61">
        <f t="shared" si="456"/>
        <v>3055.6499999999996</v>
      </c>
      <c r="AH85" s="61">
        <f t="shared" si="456"/>
        <v>3237.7999999999997</v>
      </c>
      <c r="AI85" s="61">
        <f t="shared" si="456"/>
        <v>3396.28</v>
      </c>
      <c r="AJ85" s="61">
        <f t="shared" si="456"/>
        <v>3420.13</v>
      </c>
    </row>
    <row r="86" spans="1:36" x14ac:dyDescent="0.25">
      <c r="AE86" s="55"/>
    </row>
    <row r="87" spans="1:36" x14ac:dyDescent="0.25">
      <c r="A87" s="30" t="s">
        <v>56</v>
      </c>
      <c r="C87" s="4"/>
      <c r="D87" s="4"/>
      <c r="E87" s="4"/>
      <c r="F87" s="4"/>
      <c r="G87" s="4"/>
      <c r="H87" s="4"/>
      <c r="I87" s="4"/>
      <c r="J87" s="4"/>
      <c r="K87" s="4"/>
      <c r="L87" s="4"/>
      <c r="M87" s="4"/>
      <c r="N87" s="4"/>
      <c r="O87" s="4"/>
      <c r="P87" s="4"/>
      <c r="Q87" s="4"/>
      <c r="R87" s="4"/>
      <c r="S87" s="4"/>
      <c r="T87" s="4"/>
      <c r="U87" s="4"/>
      <c r="V87" s="4"/>
      <c r="W87" s="4"/>
      <c r="X87" s="4"/>
      <c r="Y87" s="4"/>
      <c r="AE87" s="55"/>
    </row>
    <row r="88" spans="1:36" x14ac:dyDescent="0.25">
      <c r="A88" s="22" t="s">
        <v>43</v>
      </c>
      <c r="C88" s="5">
        <v>561</v>
      </c>
      <c r="D88" s="5">
        <v>694</v>
      </c>
      <c r="E88" s="5">
        <v>747</v>
      </c>
      <c r="F88" s="5">
        <v>851</v>
      </c>
      <c r="G88" s="6"/>
      <c r="H88" s="5">
        <v>748</v>
      </c>
      <c r="I88" s="5">
        <v>785</v>
      </c>
      <c r="J88" s="5">
        <v>819</v>
      </c>
      <c r="K88" s="5">
        <v>996</v>
      </c>
      <c r="L88" s="6"/>
      <c r="M88" s="5">
        <v>842</v>
      </c>
      <c r="N88" s="5">
        <v>962</v>
      </c>
      <c r="O88" s="5">
        <v>1087</v>
      </c>
      <c r="P88" s="5">
        <v>1233</v>
      </c>
      <c r="Q88" s="6"/>
      <c r="R88" s="5">
        <v>1062</v>
      </c>
      <c r="S88" s="5">
        <v>1081</v>
      </c>
      <c r="T88" s="5">
        <v>1143</v>
      </c>
      <c r="U88" s="5">
        <v>1431</v>
      </c>
      <c r="V88" s="6"/>
      <c r="W88" s="5">
        <v>1347</v>
      </c>
      <c r="X88" s="5">
        <v>1475</v>
      </c>
      <c r="Y88" s="5">
        <v>1562</v>
      </c>
      <c r="Z88" s="5">
        <v>1840</v>
      </c>
      <c r="AA88" s="5"/>
      <c r="AB88" s="5">
        <v>1584</v>
      </c>
      <c r="AC88" s="5">
        <v>1745</v>
      </c>
      <c r="AD88" s="5">
        <v>1824</v>
      </c>
      <c r="AE88" s="5">
        <v>2045</v>
      </c>
      <c r="AG88" s="63">
        <f>AB88*(1+AG89)</f>
        <v>1821.6</v>
      </c>
      <c r="AH88" s="63">
        <f t="shared" ref="AH88" si="457">AC88*(1+AH89)</f>
        <v>2006.7499999999998</v>
      </c>
      <c r="AI88" s="63">
        <f t="shared" ref="AI88" si="458">AD88*(1+AI89)</f>
        <v>2097.6</v>
      </c>
      <c r="AJ88" s="63">
        <f t="shared" ref="AJ88" si="459">AE88*(1+AJ89)</f>
        <v>2351.75</v>
      </c>
    </row>
    <row r="89" spans="1:36" x14ac:dyDescent="0.25">
      <c r="A89" s="24" t="s">
        <v>23</v>
      </c>
      <c r="C89" s="10">
        <v>0.129</v>
      </c>
      <c r="D89" s="10">
        <v>0.17599999999999999</v>
      </c>
      <c r="E89" s="10">
        <v>0.20499999999999999</v>
      </c>
      <c r="F89" s="10">
        <v>0.17499999999999999</v>
      </c>
      <c r="G89" s="4"/>
      <c r="H89" s="10">
        <f>H88/C88-1</f>
        <v>0.33333333333333326</v>
      </c>
      <c r="I89" s="10">
        <f t="shared" ref="I89:K89" si="460">I88/D88-1</f>
        <v>0.13112391930835732</v>
      </c>
      <c r="J89" s="10">
        <f t="shared" si="460"/>
        <v>9.6385542168674787E-2</v>
      </c>
      <c r="K89" s="10">
        <f t="shared" si="460"/>
        <v>0.17038777908343117</v>
      </c>
      <c r="L89" s="4"/>
      <c r="M89" s="10">
        <f>M88/H88-1</f>
        <v>0.12566844919786102</v>
      </c>
      <c r="N89" s="10">
        <f t="shared" ref="N89" si="461">N88/I88-1</f>
        <v>0.22547770700636938</v>
      </c>
      <c r="O89" s="10">
        <f t="shared" ref="O89" si="462">O88/J88-1</f>
        <v>0.32722832722832718</v>
      </c>
      <c r="P89" s="10">
        <f t="shared" ref="P89" si="463">P88/K88-1</f>
        <v>0.23795180722891573</v>
      </c>
      <c r="Q89" s="4"/>
      <c r="R89" s="10">
        <f>R88/M88-1</f>
        <v>0.26128266033254155</v>
      </c>
      <c r="S89" s="10">
        <f t="shared" ref="S89" si="464">S88/N88-1</f>
        <v>0.12370062370062374</v>
      </c>
      <c r="T89" s="10">
        <f t="shared" ref="T89" si="465">T88/O88-1</f>
        <v>5.151793928242876E-2</v>
      </c>
      <c r="U89" s="10">
        <f t="shared" ref="U89" si="466">U88/P88-1</f>
        <v>0.16058394160583944</v>
      </c>
      <c r="V89" s="4"/>
      <c r="W89" s="10">
        <f>W88/R88-1</f>
        <v>0.26836158192090398</v>
      </c>
      <c r="X89" s="10">
        <f t="shared" ref="X89" si="467">X88/S88-1</f>
        <v>0.36447733580018493</v>
      </c>
      <c r="Y89" s="10">
        <f t="shared" ref="Y89" si="468">Y88/T88-1</f>
        <v>0.36657917760279957</v>
      </c>
      <c r="Z89" s="10">
        <f t="shared" ref="Z89" si="469">Z88/U88-1</f>
        <v>0.28581411600279516</v>
      </c>
      <c r="AB89" s="10">
        <f>AB88/W88-1</f>
        <v>0.17594654788418707</v>
      </c>
      <c r="AC89" s="10">
        <f t="shared" ref="AC89" si="470">AC88/X88-1</f>
        <v>0.18305084745762712</v>
      </c>
      <c r="AD89" s="10">
        <f t="shared" ref="AD89:AE89" si="471">AD88/Y88-1</f>
        <v>0.16773367477592838</v>
      </c>
      <c r="AE89" s="10">
        <f t="shared" si="471"/>
        <v>0.11141304347826098</v>
      </c>
      <c r="AG89" s="8">
        <v>0.15</v>
      </c>
      <c r="AH89" s="8">
        <v>0.15</v>
      </c>
      <c r="AI89" s="8">
        <v>0.15</v>
      </c>
      <c r="AJ89" s="8">
        <v>0.15</v>
      </c>
    </row>
    <row r="90" spans="1:36" x14ac:dyDescent="0.25">
      <c r="A90" s="23" t="s">
        <v>44</v>
      </c>
      <c r="C90" s="7">
        <v>0.14000000000000001</v>
      </c>
      <c r="D90" s="7">
        <v>0.157</v>
      </c>
      <c r="E90" s="7">
        <v>0.153</v>
      </c>
      <c r="F90" s="7">
        <v>0.16900000000000001</v>
      </c>
      <c r="G90" s="4"/>
      <c r="H90" s="7">
        <f>H88/FS!H9</f>
        <v>0.14753451676528601</v>
      </c>
      <c r="I90" s="7">
        <f>I88/FS!I9</f>
        <v>0.14672897196261683</v>
      </c>
      <c r="J90" s="7">
        <f>J88/FS!J9</f>
        <v>0.14539321853364104</v>
      </c>
      <c r="K90" s="7">
        <f>K88/FS!K9</f>
        <v>0.17237798546209762</v>
      </c>
      <c r="L90" s="4"/>
      <c r="M90" s="7">
        <f>M88/FS!M9</f>
        <v>0.14950284090909091</v>
      </c>
      <c r="N90" s="7">
        <f>N88/FS!N9</f>
        <v>0.15851046300873289</v>
      </c>
      <c r="O90" s="7">
        <f>O88/FS!O9</f>
        <v>0.1657770321793503</v>
      </c>
      <c r="P90" s="7">
        <f>P88/FS!P9</f>
        <v>0.1834275513240107</v>
      </c>
      <c r="Q90" s="4"/>
      <c r="R90" s="7">
        <f>R88/FS!R9</f>
        <v>0.17234664070107109</v>
      </c>
      <c r="S90" s="7">
        <f>S88/FS!S9</f>
        <v>0.2122521107402317</v>
      </c>
      <c r="T90" s="7">
        <f>T88/FS!T9</f>
        <v>0.19258635214827297</v>
      </c>
      <c r="U90" s="7">
        <f>U88/FS!U9</f>
        <v>0.22268907563025211</v>
      </c>
      <c r="V90" s="4"/>
      <c r="W90" s="7">
        <f>W88/FS!W9</f>
        <v>0.20955196017423772</v>
      </c>
      <c r="X90" s="7">
        <f>X88/FS!X9</f>
        <v>0.20432192824490927</v>
      </c>
      <c r="Y90" s="7">
        <f>Y88/FS!Y9</f>
        <v>0.19959110656785076</v>
      </c>
      <c r="Z90" s="7">
        <f>Z88/FS!Z9</f>
        <v>0.21978021978021978</v>
      </c>
      <c r="AB90" s="7">
        <f>AB88/FS!AB9</f>
        <v>0.19735858460004985</v>
      </c>
      <c r="AC90" s="7">
        <f>AC88/FS!AC9</f>
        <v>0.20048253676470587</v>
      </c>
      <c r="AD90" s="7">
        <f>AD88/FS!AD9</f>
        <v>0.19897458274244573</v>
      </c>
      <c r="AE90" s="7">
        <f>AE88/FS!AE9</f>
        <v>0.21697612732095492</v>
      </c>
      <c r="AF90" s="8"/>
      <c r="AG90" s="8">
        <f>AG88/FS!AG9</f>
        <v>0.21474943177449141</v>
      </c>
      <c r="AH90" s="8">
        <f>AH88/FS!AH9</f>
        <v>0.2172035136053416</v>
      </c>
      <c r="AI90" s="8">
        <f>AI88/FS!AI9</f>
        <v>0.21337002105000835</v>
      </c>
      <c r="AJ90" s="8">
        <f>AJ88/FS!AJ9</f>
        <v>0.23052076142296229</v>
      </c>
    </row>
    <row r="91" spans="1:36" x14ac:dyDescent="0.25">
      <c r="A91" s="4"/>
      <c r="C91" s="4"/>
      <c r="D91" s="4"/>
      <c r="E91" s="4"/>
      <c r="F91" s="4"/>
      <c r="G91" s="4"/>
      <c r="H91" s="4"/>
      <c r="I91" s="4"/>
      <c r="J91" s="4"/>
      <c r="K91" s="4"/>
      <c r="L91" s="4"/>
      <c r="M91" s="4"/>
      <c r="N91" s="4"/>
      <c r="O91" s="4"/>
      <c r="P91" s="4"/>
      <c r="Q91" s="4"/>
      <c r="R91" s="4"/>
      <c r="S91" s="4"/>
      <c r="T91" s="4"/>
      <c r="U91" s="4"/>
      <c r="V91" s="4"/>
      <c r="W91" s="4"/>
      <c r="X91" s="4"/>
      <c r="Y91" s="4"/>
      <c r="AE91" s="55"/>
    </row>
    <row r="92" spans="1:36" x14ac:dyDescent="0.25">
      <c r="A92" s="4"/>
      <c r="C92" s="4"/>
      <c r="D92" s="4"/>
      <c r="E92" s="4"/>
      <c r="F92" s="4"/>
      <c r="G92" s="4"/>
      <c r="H92" s="4"/>
      <c r="I92" s="4"/>
      <c r="J92" s="4"/>
      <c r="K92" s="4"/>
      <c r="L92" s="4"/>
      <c r="M92" s="4"/>
      <c r="N92" s="4"/>
      <c r="O92" s="4"/>
      <c r="P92" s="4"/>
      <c r="Q92" s="4"/>
      <c r="R92" s="4"/>
      <c r="S92" s="4"/>
      <c r="T92" s="4"/>
      <c r="U92" s="4"/>
      <c r="V92" s="4"/>
      <c r="W92" s="4"/>
      <c r="X92" s="4"/>
      <c r="Y92" s="4"/>
      <c r="AE92" s="55"/>
    </row>
    <row r="93" spans="1:36" x14ac:dyDescent="0.25">
      <c r="A93" s="30" t="s">
        <v>86</v>
      </c>
      <c r="C93" s="4"/>
      <c r="D93" s="4"/>
      <c r="E93" s="4"/>
      <c r="F93" s="4"/>
      <c r="G93" s="4"/>
      <c r="H93" s="4"/>
      <c r="I93" s="4"/>
      <c r="J93" s="4"/>
      <c r="K93" s="4"/>
      <c r="L93" s="4"/>
      <c r="M93" s="4"/>
      <c r="N93" s="4"/>
      <c r="O93" s="4"/>
      <c r="P93" s="4"/>
      <c r="Q93" s="4"/>
      <c r="R93" s="4"/>
      <c r="S93" s="4"/>
      <c r="T93" s="4"/>
      <c r="U93" s="4"/>
      <c r="V93" s="4"/>
      <c r="W93" s="4"/>
      <c r="X93" s="4"/>
      <c r="Y93" s="4"/>
      <c r="AE93" s="55"/>
    </row>
    <row r="94" spans="1:36" x14ac:dyDescent="0.25">
      <c r="A94" s="22" t="s">
        <v>45</v>
      </c>
      <c r="C94" s="5">
        <v>1279</v>
      </c>
      <c r="D94" s="5">
        <v>1381</v>
      </c>
      <c r="E94" s="5">
        <v>1470</v>
      </c>
      <c r="F94" s="5">
        <v>1718</v>
      </c>
      <c r="G94" s="6"/>
      <c r="H94" s="5">
        <v>1490</v>
      </c>
      <c r="I94" s="5">
        <v>1685</v>
      </c>
      <c r="J94" s="5">
        <v>1735</v>
      </c>
      <c r="K94" s="5">
        <v>1971</v>
      </c>
      <c r="L94" s="6"/>
      <c r="M94" s="5">
        <v>1743</v>
      </c>
      <c r="N94" s="5">
        <v>1956</v>
      </c>
      <c r="O94" s="5">
        <v>2090</v>
      </c>
      <c r="P94" s="5">
        <v>2308</v>
      </c>
      <c r="Q94" s="6"/>
      <c r="R94" s="5">
        <v>2153</v>
      </c>
      <c r="S94" s="5">
        <v>1758</v>
      </c>
      <c r="T94" s="5">
        <v>2098</v>
      </c>
      <c r="U94" s="5">
        <v>2306</v>
      </c>
      <c r="V94" s="6"/>
      <c r="W94" s="5">
        <v>2273</v>
      </c>
      <c r="X94" s="5">
        <v>2691</v>
      </c>
      <c r="Y94" s="5">
        <v>2841</v>
      </c>
      <c r="Z94" s="5">
        <v>3156</v>
      </c>
      <c r="AA94" s="5"/>
      <c r="AB94" s="5">
        <v>2890</v>
      </c>
      <c r="AC94" s="5">
        <v>3213</v>
      </c>
      <c r="AD94" s="5">
        <v>3411</v>
      </c>
      <c r="AE94" s="5">
        <v>3608</v>
      </c>
      <c r="AF94" s="63"/>
      <c r="AG94" s="63">
        <f>AG7*AG98/10</f>
        <v>3034.3643656397471</v>
      </c>
      <c r="AH94" s="63">
        <f t="shared" ref="AH94:AJ94" si="472">AH7*AH98/10</f>
        <v>3123.7402811725087</v>
      </c>
      <c r="AI94" s="63">
        <f t="shared" si="472"/>
        <v>3289.7624999999998</v>
      </c>
      <c r="AJ94" s="63">
        <f t="shared" si="472"/>
        <v>3789.5480000000002</v>
      </c>
    </row>
    <row r="95" spans="1:36" x14ac:dyDescent="0.25">
      <c r="A95" s="23" t="s">
        <v>23</v>
      </c>
      <c r="C95" s="7">
        <v>0.23100000000000001</v>
      </c>
      <c r="D95" s="7">
        <v>0.20799999999999999</v>
      </c>
      <c r="E95" s="7">
        <v>0.2</v>
      </c>
      <c r="F95" s="7">
        <v>0.254</v>
      </c>
      <c r="G95" s="4"/>
      <c r="H95" s="7">
        <f>H94/C94-1</f>
        <v>0.16497263487099301</v>
      </c>
      <c r="I95" s="7">
        <f t="shared" ref="I95:K95" si="473">I94/D94-1</f>
        <v>0.22013034033309187</v>
      </c>
      <c r="J95" s="7">
        <f t="shared" si="473"/>
        <v>0.1802721088435375</v>
      </c>
      <c r="K95" s="7">
        <f t="shared" si="473"/>
        <v>0.14726426076833521</v>
      </c>
      <c r="L95" s="4"/>
      <c r="M95" s="7">
        <f>M94/H94-1</f>
        <v>0.16979865771812075</v>
      </c>
      <c r="N95" s="7">
        <f t="shared" ref="N95" si="474">N94/I94-1</f>
        <v>0.16083086053412465</v>
      </c>
      <c r="O95" s="7">
        <f t="shared" ref="O95" si="475">O94/J94-1</f>
        <v>0.20461095100864557</v>
      </c>
      <c r="P95" s="7">
        <f t="shared" ref="P95" si="476">P94/K94-1</f>
        <v>0.17097919837645859</v>
      </c>
      <c r="Q95" s="4"/>
      <c r="R95" s="7">
        <f>R94/M94-1</f>
        <v>0.23522662076878942</v>
      </c>
      <c r="S95" s="7">
        <f t="shared" ref="S95" si="477">S94/N94-1</f>
        <v>-0.10122699386503065</v>
      </c>
      <c r="T95" s="7">
        <f t="shared" ref="T95" si="478">T94/O94-1</f>
        <v>3.82775119617218E-3</v>
      </c>
      <c r="U95" s="7">
        <f t="shared" ref="U95" si="479">U94/P94-1</f>
        <v>-8.6655112651645716E-4</v>
      </c>
      <c r="V95" s="4"/>
      <c r="W95" s="7">
        <f>W94/R94-1</f>
        <v>5.5736182071528084E-2</v>
      </c>
      <c r="X95" s="7">
        <f t="shared" ref="X95" si="480">X94/S94-1</f>
        <v>0.53071672354948807</v>
      </c>
      <c r="Y95" s="7">
        <f t="shared" ref="Y95" si="481">Y94/T94-1</f>
        <v>0.35414680648236407</v>
      </c>
      <c r="Z95" s="7">
        <f t="shared" ref="Z95" si="482">Z94/U94-1</f>
        <v>0.3686036426712922</v>
      </c>
      <c r="AB95" s="7">
        <f>AB94/W94-1</f>
        <v>0.27144742630884289</v>
      </c>
      <c r="AC95" s="7">
        <f t="shared" ref="AC95" si="483">AC94/X94-1</f>
        <v>0.19397993311036799</v>
      </c>
      <c r="AD95" s="7">
        <f t="shared" ref="AD95" si="484">AD94/Y94-1</f>
        <v>0.20063357972544882</v>
      </c>
      <c r="AE95" s="7">
        <f>AE94/Z94-1</f>
        <v>0.14321926489226877</v>
      </c>
      <c r="AF95" s="8"/>
      <c r="AG95" s="8">
        <f>AG94/AB94-1</f>
        <v>4.9953067695414299E-2</v>
      </c>
      <c r="AH95" s="8">
        <f t="shared" ref="AH95:AJ95" si="485">AH94/AC94-1</f>
        <v>-2.7780802622935363E-2</v>
      </c>
      <c r="AI95" s="8">
        <f t="shared" si="485"/>
        <v>-3.5543095866314878E-2</v>
      </c>
      <c r="AJ95" s="8">
        <f t="shared" si="485"/>
        <v>5.0318181818181928E-2</v>
      </c>
    </row>
    <row r="96" spans="1:36" x14ac:dyDescent="0.25">
      <c r="A96" s="23" t="s">
        <v>44</v>
      </c>
      <c r="C96" s="7">
        <v>0.31900000000000001</v>
      </c>
      <c r="D96" s="7">
        <v>0.311</v>
      </c>
      <c r="E96" s="7">
        <v>0.30199999999999999</v>
      </c>
      <c r="F96" s="7">
        <v>0.34200000000000003</v>
      </c>
      <c r="G96" s="4"/>
      <c r="H96" s="7">
        <f>H94/FS!H9</f>
        <v>0.29388560157790927</v>
      </c>
      <c r="I96" s="7">
        <f>I94/FS!I9</f>
        <v>0.31495327102803738</v>
      </c>
      <c r="J96" s="7">
        <f>J94/FS!J9</f>
        <v>0.30800639091070475</v>
      </c>
      <c r="K96" s="7">
        <f>K94/FS!K9</f>
        <v>0.34112149532710279</v>
      </c>
      <c r="L96" s="4"/>
      <c r="M96" s="7">
        <f>M94/FS!M9</f>
        <v>0.30948153409090912</v>
      </c>
      <c r="N96" s="7">
        <f>N94/FS!N9</f>
        <v>0.3222936233316856</v>
      </c>
      <c r="O96" s="7">
        <f>O94/FS!O9</f>
        <v>0.31874332774134512</v>
      </c>
      <c r="P96" s="7">
        <f>P94/FS!P9</f>
        <v>0.34335019339482298</v>
      </c>
      <c r="Q96" s="4"/>
      <c r="R96" s="7">
        <f>R94/FS!R9</f>
        <v>0.34939954560207725</v>
      </c>
      <c r="S96" s="7">
        <f>S94/FS!S9</f>
        <v>0.34517965835460435</v>
      </c>
      <c r="T96" s="7">
        <f>T94/FS!T9</f>
        <v>0.35349620893007583</v>
      </c>
      <c r="U96" s="7">
        <f>U94/FS!U9</f>
        <v>0.35885465297230001</v>
      </c>
      <c r="V96" s="4"/>
      <c r="W96" s="7">
        <f>W94/FS!W9</f>
        <v>0.35360920970752957</v>
      </c>
      <c r="X96" s="7">
        <f>X94/FS!X9</f>
        <v>0.37276631112342429</v>
      </c>
      <c r="Y96" s="7">
        <f>Y94/FS!Y9</f>
        <v>0.36302070023000255</v>
      </c>
      <c r="Z96" s="7">
        <f>Z94/FS!Z9</f>
        <v>0.3769708552317248</v>
      </c>
      <c r="AB96" s="7">
        <f>AB94/FS!AB9</f>
        <v>0.36007974084226263</v>
      </c>
      <c r="AC96" s="7">
        <f>AC94/FS!AC9</f>
        <v>0.369140625</v>
      </c>
      <c r="AD96" s="7">
        <f>AD94/FS!AD9</f>
        <v>0.37209556016144868</v>
      </c>
      <c r="AE96" s="7">
        <f>AE94/FS!AE9</f>
        <v>0.38281167108753317</v>
      </c>
      <c r="AF96" s="8"/>
      <c r="AG96" s="8">
        <f>AG94/FS!AG9</f>
        <v>0.35772289378453054</v>
      </c>
      <c r="AH96" s="8">
        <f>AH94/FS!AH9</f>
        <v>0.33810258610250737</v>
      </c>
      <c r="AI96" s="8">
        <f>AI94/FS!AI9</f>
        <v>0.33463801195391307</v>
      </c>
      <c r="AJ96" s="8">
        <f>AJ94/FS!AJ9</f>
        <v>0.37145508255931287</v>
      </c>
    </row>
    <row r="97" spans="1:39" x14ac:dyDescent="0.25">
      <c r="A97" s="23"/>
      <c r="C97" s="4"/>
      <c r="D97" s="4"/>
      <c r="E97" s="4"/>
      <c r="F97" s="4"/>
      <c r="G97" s="4"/>
      <c r="H97" s="4"/>
      <c r="I97" s="4"/>
      <c r="J97" s="4"/>
      <c r="K97" s="4"/>
      <c r="L97" s="4"/>
      <c r="M97" s="4"/>
      <c r="N97" s="4"/>
      <c r="O97" s="4"/>
      <c r="P97" s="4"/>
      <c r="Q97" s="4"/>
      <c r="R97" s="4"/>
      <c r="S97" s="4"/>
      <c r="T97" s="4"/>
      <c r="U97" s="4"/>
      <c r="V97" s="4"/>
      <c r="W97" s="4"/>
      <c r="X97" s="4"/>
      <c r="Y97" s="4"/>
    </row>
    <row r="98" spans="1:39" x14ac:dyDescent="0.25">
      <c r="A98" s="22" t="s">
        <v>90</v>
      </c>
      <c r="C98" s="14">
        <v>14.837999999999999</v>
      </c>
      <c r="D98" s="14">
        <v>14.849</v>
      </c>
      <c r="E98" s="14">
        <v>14.984999999999999</v>
      </c>
      <c r="F98" s="14">
        <v>16.567</v>
      </c>
      <c r="G98" s="4"/>
      <c r="H98" s="50">
        <f>H94/H7*10</f>
        <v>14.396135265700483</v>
      </c>
      <c r="I98" s="50">
        <f>I94/I7*10</f>
        <v>15.544280442804428</v>
      </c>
      <c r="J98" s="50">
        <f>J94/J7*10</f>
        <v>16.020313942751617</v>
      </c>
      <c r="K98" s="50">
        <f>K94/K7*10</f>
        <v>17.213973799126638</v>
      </c>
      <c r="L98" s="51"/>
      <c r="M98" s="50">
        <f>M94/M7*10</f>
        <v>15.990825688073393</v>
      </c>
      <c r="N98" s="50">
        <f>N94/N7*10</f>
        <v>16.590330788804071</v>
      </c>
      <c r="O98" s="50">
        <f>O94/O7*10</f>
        <v>17.145200984413453</v>
      </c>
      <c r="P98" s="50">
        <f>P94/P7*10</f>
        <v>18.101960784313725</v>
      </c>
      <c r="Q98" s="51"/>
      <c r="R98" s="50">
        <f>R94/R7*10</f>
        <v>18.721739130434784</v>
      </c>
      <c r="S98" s="50">
        <f>S94/S7*10</f>
        <v>16.985507246376812</v>
      </c>
      <c r="T98" s="50">
        <f>T94/T7*10</f>
        <v>16.960388035569927</v>
      </c>
      <c r="U98" s="50">
        <f>U94/U7*10</f>
        <v>17.430083144368858</v>
      </c>
      <c r="V98" s="51"/>
      <c r="W98" s="50">
        <f>W94/W7*10</f>
        <v>17.525057825751734</v>
      </c>
      <c r="X98" s="50">
        <f>X94/X7*10</f>
        <v>18.293677770224338</v>
      </c>
      <c r="Y98" s="50">
        <f>Y94/Y7*10</f>
        <v>18.364576599870716</v>
      </c>
      <c r="Z98" s="50">
        <f>Z94/Z7*10</f>
        <v>19.000602046959663</v>
      </c>
      <c r="AA98" s="52"/>
      <c r="AB98" s="50">
        <f>AB94/AB7*10</f>
        <v>19.000657462195925</v>
      </c>
      <c r="AC98" s="50">
        <f>AC94/AC7*10</f>
        <v>19.449152542372879</v>
      </c>
      <c r="AD98" s="50">
        <f>AD94/AD7*10</f>
        <v>20.437387657279807</v>
      </c>
      <c r="AE98" s="50">
        <f>AE94/AE7*10</f>
        <v>20.903823870220162</v>
      </c>
      <c r="AF98" s="64"/>
      <c r="AG98" s="64">
        <v>19.016776282896966</v>
      </c>
      <c r="AH98" s="64">
        <v>18.064342401950629</v>
      </c>
      <c r="AI98" s="64">
        <v>18.75</v>
      </c>
      <c r="AJ98" s="64">
        <v>20.5</v>
      </c>
      <c r="AM98" t="s">
        <v>136</v>
      </c>
    </row>
    <row r="99" spans="1:39" x14ac:dyDescent="0.25">
      <c r="A99" s="23" t="s">
        <v>23</v>
      </c>
      <c r="C99" s="7">
        <v>0.19500000000000001</v>
      </c>
      <c r="D99" s="7">
        <v>0.16700000000000001</v>
      </c>
      <c r="E99" s="7">
        <v>7.8E-2</v>
      </c>
      <c r="F99" s="7">
        <v>8.5999999999999993E-2</v>
      </c>
      <c r="G99" s="4"/>
      <c r="H99" s="7">
        <f>H98/C98-1</f>
        <v>-2.9779265015468126E-2</v>
      </c>
      <c r="I99" s="7">
        <f t="shared" ref="I99:K99" si="486">I98/D98-1</f>
        <v>4.6823384928576184E-2</v>
      </c>
      <c r="J99" s="7">
        <f t="shared" si="486"/>
        <v>6.9090019536310887E-2</v>
      </c>
      <c r="K99" s="7">
        <f t="shared" si="486"/>
        <v>3.9051958660387465E-2</v>
      </c>
      <c r="L99" s="4"/>
      <c r="M99" s="7">
        <f>M98/H98-1</f>
        <v>0.11077211994335312</v>
      </c>
      <c r="N99" s="7">
        <f t="shared" ref="N99" si="487">N98/I98-1</f>
        <v>6.7294870923656491E-2</v>
      </c>
      <c r="O99" s="7">
        <f t="shared" ref="O99" si="488">O98/J98-1</f>
        <v>7.0216291995375713E-2</v>
      </c>
      <c r="P99" s="7">
        <f t="shared" ref="P99" si="489">P98/K98-1</f>
        <v>5.1585240894937323E-2</v>
      </c>
      <c r="Q99" s="4"/>
      <c r="R99" s="7">
        <f>R98/M98-1</f>
        <v>0.17078001446780933</v>
      </c>
      <c r="S99" s="7">
        <f t="shared" ref="S99" si="490">S98/N98-1</f>
        <v>2.3819685249399924E-2</v>
      </c>
      <c r="T99" s="7">
        <f t="shared" ref="T99" si="491">T98/O98-1</f>
        <v>-1.0779281561734799E-2</v>
      </c>
      <c r="U99" s="7">
        <f t="shared" ref="U99" si="492">U98/P98-1</f>
        <v>-3.711629076818479E-2</v>
      </c>
      <c r="V99" s="4"/>
      <c r="W99" s="7">
        <f>W98/R98-1</f>
        <v>-6.3919345117766313E-2</v>
      </c>
      <c r="X99" s="7">
        <f t="shared" ref="X99" si="493">X98/S98-1</f>
        <v>7.7016865311842375E-2</v>
      </c>
      <c r="Y99" s="7">
        <f t="shared" ref="Y99" si="494">Y98/T98-1</f>
        <v>8.2792242804579308E-2</v>
      </c>
      <c r="Z99" s="7">
        <f t="shared" ref="Z99" si="495">Z98/U98-1</f>
        <v>9.0103924897122045E-2</v>
      </c>
      <c r="AB99" s="7">
        <f>AB98/W98-1</f>
        <v>8.4199416122662241E-2</v>
      </c>
      <c r="AC99" s="7">
        <f t="shared" ref="AC99" si="496">AC98/X98-1</f>
        <v>6.316251913156834E-2</v>
      </c>
      <c r="AD99" s="7">
        <f t="shared" ref="AD99" si="497">AD98/Y98-1</f>
        <v>0.11287007060231824</v>
      </c>
      <c r="AE99" s="7">
        <f t="shared" ref="AE99" si="498">AE98/Z98-1</f>
        <v>0.10016639570455288</v>
      </c>
      <c r="AF99" s="8"/>
      <c r="AG99" s="8">
        <f t="shared" ref="AG99" si="499">AG98/AB98-1</f>
        <v>8.4832962928316213E-4</v>
      </c>
      <c r="AH99" s="8">
        <f t="shared" ref="AH99" si="500">AH98/AC98-1</f>
        <v>-7.1201567132821553E-2</v>
      </c>
      <c r="AI99" s="8">
        <f t="shared" ref="AI99" si="501">AI98/AD98-1</f>
        <v>-8.2563764291996411E-2</v>
      </c>
      <c r="AJ99" s="8">
        <f t="shared" ref="AJ99" si="502">AJ98/AE98-1</f>
        <v>-1.931818181818179E-2</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E5CE2-39AF-4F45-8DB3-A05CD4CF07A3}">
  <dimension ref="A1:BL269"/>
  <sheetViews>
    <sheetView showGridLines="0" zoomScale="80" zoomScaleNormal="80" workbookViewId="0">
      <pane xSplit="1" ySplit="1" topLeftCell="V2" activePane="bottomRight" state="frozen"/>
      <selection pane="topRight" activeCell="B1" sqref="B1"/>
      <selection pane="bottomLeft" activeCell="A2" sqref="A2"/>
      <selection pane="bottomRight" activeCell="AM36" sqref="AM36"/>
    </sheetView>
  </sheetViews>
  <sheetFormatPr defaultColWidth="8.85546875" defaultRowHeight="15" x14ac:dyDescent="0.25"/>
  <cols>
    <col min="1" max="1" width="46.140625" customWidth="1"/>
    <col min="3" max="6" width="9.42578125" customWidth="1"/>
    <col min="7" max="7" width="9.42578125" style="160" customWidth="1"/>
    <col min="8" max="11" width="9.42578125" customWidth="1"/>
    <col min="12" max="12" width="9.42578125" style="160" customWidth="1"/>
    <col min="13" max="16" width="9.42578125" customWidth="1"/>
    <col min="17" max="17" width="9.42578125" style="160" customWidth="1"/>
    <col min="18" max="21" width="9.42578125" customWidth="1"/>
    <col min="22" max="22" width="9.42578125" style="160" customWidth="1"/>
    <col min="23" max="24" width="9.42578125" customWidth="1"/>
    <col min="25" max="26" width="11.42578125" bestFit="1" customWidth="1"/>
    <col min="27" max="27" width="11.42578125" style="160" bestFit="1" customWidth="1"/>
    <col min="28" max="28" width="11.42578125" bestFit="1" customWidth="1"/>
    <col min="29" max="30" width="11.7109375" bestFit="1" customWidth="1"/>
    <col min="31" max="31" width="10.140625" bestFit="1" customWidth="1"/>
    <col min="32" max="32" width="10.7109375" style="160" customWidth="1"/>
    <col min="33" max="36" width="9.7109375" bestFit="1" customWidth="1"/>
    <col min="37" max="37" width="10.140625" style="160" customWidth="1"/>
    <col min="45" max="45" width="9.42578125" customWidth="1"/>
    <col min="46" max="46" width="9" customWidth="1"/>
    <col min="47" max="47" width="9.28515625" customWidth="1"/>
  </cols>
  <sheetData>
    <row r="1" spans="1:64" s="28" customFormat="1" x14ac:dyDescent="0.25">
      <c r="C1" s="88" t="s">
        <v>3</v>
      </c>
      <c r="D1" s="88" t="s">
        <v>4</v>
      </c>
      <c r="E1" s="88" t="s">
        <v>5</v>
      </c>
      <c r="F1" s="88" t="s">
        <v>6</v>
      </c>
      <c r="G1" s="184" t="s">
        <v>150</v>
      </c>
      <c r="H1" s="88" t="s">
        <v>7</v>
      </c>
      <c r="I1" s="88" t="s">
        <v>8</v>
      </c>
      <c r="J1" s="88" t="s">
        <v>9</v>
      </c>
      <c r="K1" s="88" t="s">
        <v>10</v>
      </c>
      <c r="L1" s="184" t="s">
        <v>151</v>
      </c>
      <c r="M1" s="88" t="s">
        <v>11</v>
      </c>
      <c r="N1" s="88" t="s">
        <v>12</v>
      </c>
      <c r="O1" s="88" t="s">
        <v>13</v>
      </c>
      <c r="P1" s="88" t="s">
        <v>14</v>
      </c>
      <c r="Q1" s="184" t="s">
        <v>153</v>
      </c>
      <c r="R1" s="88" t="s">
        <v>15</v>
      </c>
      <c r="S1" s="88" t="s">
        <v>16</v>
      </c>
      <c r="T1" s="88" t="s">
        <v>17</v>
      </c>
      <c r="U1" s="88" t="s">
        <v>18</v>
      </c>
      <c r="V1" s="184" t="s">
        <v>152</v>
      </c>
      <c r="W1" s="88" t="s">
        <v>19</v>
      </c>
      <c r="X1" s="88" t="s">
        <v>20</v>
      </c>
      <c r="Y1" s="88" t="s">
        <v>21</v>
      </c>
      <c r="Z1" s="88" t="s">
        <v>46</v>
      </c>
      <c r="AA1" s="184" t="s">
        <v>154</v>
      </c>
      <c r="AB1" s="88" t="s">
        <v>47</v>
      </c>
      <c r="AC1" s="88" t="s">
        <v>48</v>
      </c>
      <c r="AD1" s="88" t="s">
        <v>49</v>
      </c>
      <c r="AE1" s="88" t="s">
        <v>389</v>
      </c>
      <c r="AF1" s="184" t="s">
        <v>155</v>
      </c>
      <c r="AG1" s="88" t="s">
        <v>143</v>
      </c>
      <c r="AH1" s="88" t="s">
        <v>144</v>
      </c>
      <c r="AI1" s="88" t="s">
        <v>145</v>
      </c>
      <c r="AJ1" s="88" t="s">
        <v>146</v>
      </c>
      <c r="AK1" s="184" t="s">
        <v>156</v>
      </c>
      <c r="AL1" s="88"/>
      <c r="AM1" s="88"/>
      <c r="AN1" s="88"/>
      <c r="AO1" s="88"/>
      <c r="AP1" s="184"/>
      <c r="AQ1" s="88"/>
      <c r="AR1" s="88"/>
      <c r="AS1" s="88"/>
      <c r="AT1" s="88"/>
      <c r="AU1" s="184"/>
    </row>
    <row r="2" spans="1:64" ht="15" customHeight="1" x14ac:dyDescent="0.25">
      <c r="A2" s="30" t="s">
        <v>60</v>
      </c>
    </row>
    <row r="4" spans="1:64" x14ac:dyDescent="0.25">
      <c r="A4" s="34" t="s">
        <v>52</v>
      </c>
      <c r="BB4">
        <v>2017</v>
      </c>
      <c r="BC4">
        <v>2018</v>
      </c>
      <c r="BD4">
        <v>2019</v>
      </c>
      <c r="BE4">
        <v>2020</v>
      </c>
      <c r="BF4">
        <v>2021</v>
      </c>
      <c r="BG4">
        <v>2022</v>
      </c>
      <c r="BH4">
        <v>2023</v>
      </c>
      <c r="BI4">
        <v>2024</v>
      </c>
      <c r="BJ4">
        <v>2025</v>
      </c>
      <c r="BK4">
        <v>2026</v>
      </c>
      <c r="BL4">
        <v>2027</v>
      </c>
    </row>
    <row r="5" spans="1:64" x14ac:dyDescent="0.25">
      <c r="A5" s="37" t="s">
        <v>53</v>
      </c>
      <c r="C5" s="89">
        <f>'Revenue Build'!C4</f>
        <v>1189</v>
      </c>
      <c r="D5" s="89">
        <f>'Revenue Build'!D4</f>
        <v>1260</v>
      </c>
      <c r="E5" s="89">
        <f>'Revenue Build'!E4</f>
        <v>1302</v>
      </c>
      <c r="F5" s="89">
        <f>'Revenue Build'!F4</f>
        <v>1379</v>
      </c>
      <c r="G5" s="161">
        <f>SUM(C5:F5)</f>
        <v>5130</v>
      </c>
      <c r="H5" s="89">
        <f>'Revenue Build'!H4</f>
        <v>1458</v>
      </c>
      <c r="I5" s="89">
        <f>'Revenue Build'!I4</f>
        <v>1537</v>
      </c>
      <c r="J5" s="89">
        <f>'Revenue Build'!J4</f>
        <v>1564</v>
      </c>
      <c r="K5" s="89">
        <f>'Revenue Build'!K4</f>
        <v>1579</v>
      </c>
      <c r="L5" s="161">
        <f>SUM(H5:K5)</f>
        <v>6138</v>
      </c>
      <c r="M5" s="89">
        <f>'Revenue Build'!M4</f>
        <v>1605</v>
      </c>
      <c r="N5" s="89">
        <f>'Revenue Build'!N4</f>
        <v>1680</v>
      </c>
      <c r="O5" s="89">
        <f>'Revenue Build'!O4</f>
        <v>1722</v>
      </c>
      <c r="P5" s="89">
        <f>'Revenue Build'!P4</f>
        <v>1774</v>
      </c>
      <c r="Q5" s="161">
        <f>SUM(M5:P5)</f>
        <v>6781</v>
      </c>
      <c r="R5" s="89">
        <f>'Revenue Build'!R4</f>
        <v>1683</v>
      </c>
      <c r="S5" s="89">
        <f>'Revenue Build'!S4</f>
        <v>1474</v>
      </c>
      <c r="T5" s="89">
        <f>'Revenue Build'!T4</f>
        <v>1750</v>
      </c>
      <c r="U5" s="89">
        <f>'Revenue Build'!U4</f>
        <v>1749</v>
      </c>
      <c r="V5" s="161">
        <f>SUM(R5:U5)</f>
        <v>6656</v>
      </c>
      <c r="W5" s="89">
        <f>'Revenue Build'!W4</f>
        <v>1798</v>
      </c>
      <c r="X5" s="89">
        <f>'Revenue Build'!X4</f>
        <v>2056</v>
      </c>
      <c r="Y5" s="89">
        <f>'Revenue Build'!Y4</f>
        <v>2139</v>
      </c>
      <c r="Z5" s="89">
        <f>'Revenue Build'!Z4</f>
        <v>2165</v>
      </c>
      <c r="AA5" s="161">
        <f>SUM(W5:Z5)</f>
        <v>8158</v>
      </c>
      <c r="AB5" s="89">
        <f>'Revenue Build'!AB4</f>
        <v>2135</v>
      </c>
      <c r="AC5" s="89">
        <f>'Revenue Build'!AC4</f>
        <v>2283</v>
      </c>
      <c r="AD5" s="89">
        <f>'Revenue Build'!AD4</f>
        <v>2252</v>
      </c>
      <c r="AE5" s="89">
        <f>'Revenue Build'!AE4</f>
        <v>2251</v>
      </c>
      <c r="AF5" s="161">
        <f>SUM(AB5:AE5)</f>
        <v>8921</v>
      </c>
      <c r="AG5" s="90">
        <f>'Revenue Build'!AG4</f>
        <v>2228.5510046844183</v>
      </c>
      <c r="AH5" s="90">
        <f>'Revenue Build'!AH4</f>
        <v>2341.9342906779661</v>
      </c>
      <c r="AI5" s="90">
        <f>'Revenue Build'!AI4</f>
        <v>2355.5829596165372</v>
      </c>
      <c r="AJ5" s="90">
        <f>'Revenue Build'!AJ4</f>
        <v>2408.4284191425263</v>
      </c>
      <c r="AK5" s="180">
        <f>SUM(AG5:AJ5)</f>
        <v>9334.4966741214485</v>
      </c>
      <c r="BA5" s="34" t="s">
        <v>266</v>
      </c>
      <c r="BB5" s="53">
        <f>G11</f>
        <v>12497</v>
      </c>
      <c r="BC5" s="53">
        <f>L11</f>
        <v>14950</v>
      </c>
      <c r="BD5" s="53">
        <f>Q11</f>
        <v>16883</v>
      </c>
      <c r="BE5" s="53">
        <f>V11</f>
        <v>15301</v>
      </c>
      <c r="BF5" s="53">
        <f>AA11</f>
        <v>18884</v>
      </c>
      <c r="BG5" s="53">
        <f>AF11</f>
        <v>22170</v>
      </c>
      <c r="BH5" s="53">
        <f>AK11</f>
        <v>24516.770156809187</v>
      </c>
    </row>
    <row r="6" spans="1:64" x14ac:dyDescent="0.25">
      <c r="A6" s="37" t="s">
        <v>54</v>
      </c>
      <c r="C6" s="89">
        <f>'Revenue Build'!C37</f>
        <v>916</v>
      </c>
      <c r="D6" s="89">
        <f>'Revenue Build'!D37</f>
        <v>984</v>
      </c>
      <c r="E6" s="89">
        <f>'Revenue Build'!E37</f>
        <v>1157</v>
      </c>
      <c r="F6" s="89">
        <f>'Revenue Build'!F37</f>
        <v>1117</v>
      </c>
      <c r="G6" s="161">
        <f>SUM(C6:F6)</f>
        <v>4174</v>
      </c>
      <c r="H6" s="89">
        <f>'Revenue Build'!H37</f>
        <v>1157</v>
      </c>
      <c r="I6" s="89">
        <f>'Revenue Build'!I37</f>
        <v>1198</v>
      </c>
      <c r="J6" s="89">
        <f>'Revenue Build'!J37</f>
        <v>1338</v>
      </c>
      <c r="K6" s="89">
        <f>'Revenue Build'!K37</f>
        <v>1261</v>
      </c>
      <c r="L6" s="161">
        <f>SUM(H6:K6)</f>
        <v>4954</v>
      </c>
      <c r="M6" s="89">
        <f>'Revenue Build'!M37</f>
        <v>1263</v>
      </c>
      <c r="N6" s="89">
        <f>'Revenue Build'!N37</f>
        <v>1374</v>
      </c>
      <c r="O6" s="89">
        <f>'Revenue Build'!O37</f>
        <v>1517</v>
      </c>
      <c r="P6" s="89">
        <f>'Revenue Build'!P37</f>
        <v>1452</v>
      </c>
      <c r="Q6" s="161">
        <f>SUM(M6:P6)</f>
        <v>5606</v>
      </c>
      <c r="R6" s="89">
        <f>'Revenue Build'!R37</f>
        <v>1217</v>
      </c>
      <c r="S6" s="89">
        <f>'Revenue Build'!S37</f>
        <v>637</v>
      </c>
      <c r="T6" s="89">
        <f>'Revenue Build'!T37</f>
        <v>791</v>
      </c>
      <c r="U6" s="89">
        <f>'Revenue Build'!U37</f>
        <v>867</v>
      </c>
      <c r="V6" s="161">
        <f>SUM(R6:U6)</f>
        <v>3512</v>
      </c>
      <c r="W6" s="89">
        <f>'Revenue Build'!W37</f>
        <v>932</v>
      </c>
      <c r="X6" s="89">
        <f>'Revenue Build'!X37</f>
        <v>1076</v>
      </c>
      <c r="Y6" s="89">
        <f>'Revenue Build'!Y37</f>
        <v>1276</v>
      </c>
      <c r="Z6" s="89">
        <f>'Revenue Build'!Z37</f>
        <v>1380</v>
      </c>
      <c r="AA6" s="161">
        <f>SUM(W6:Z6)</f>
        <v>4664</v>
      </c>
      <c r="AB6" s="89">
        <f>'Revenue Build'!AB37</f>
        <v>1395</v>
      </c>
      <c r="AC6" s="89">
        <f>'Revenue Build'!AC37</f>
        <v>1615</v>
      </c>
      <c r="AD6" s="89">
        <f>'Revenue Build'!AD37</f>
        <v>1803</v>
      </c>
      <c r="AE6" s="89">
        <f>'Revenue Build'!AE37</f>
        <v>1795</v>
      </c>
      <c r="AF6" s="161">
        <f>SUM(AB6:AE6)</f>
        <v>6608</v>
      </c>
      <c r="AG6" s="90">
        <f>'Revenue Build'!AG37</f>
        <v>1492.65</v>
      </c>
      <c r="AH6" s="90">
        <f>'Revenue Build'!AH37</f>
        <v>1728.0500000000002</v>
      </c>
      <c r="AI6" s="90">
        <f>'Revenue Build'!AI37</f>
        <v>1983.3000000000002</v>
      </c>
      <c r="AJ6" s="90">
        <f>'Revenue Build'!AJ37</f>
        <v>1920.65</v>
      </c>
      <c r="AK6" s="180">
        <f>SUM(AG6:AJ6)</f>
        <v>7124.65</v>
      </c>
      <c r="BA6" s="34" t="s">
        <v>268</v>
      </c>
      <c r="BB6" s="53">
        <f>G30</f>
        <v>7240</v>
      </c>
      <c r="BC6" s="53">
        <f>L30</f>
        <v>8869</v>
      </c>
      <c r="BD6" s="53">
        <f>Q30</f>
        <v>10186</v>
      </c>
      <c r="BE6" s="53">
        <f>V30</f>
        <v>8756</v>
      </c>
      <c r="BF6" s="53">
        <f>AA30</f>
        <v>10985</v>
      </c>
      <c r="BG6" s="53">
        <f>AF30</f>
        <v>13371</v>
      </c>
      <c r="BH6" s="53">
        <f>AK30</f>
        <v>14670.472915781924</v>
      </c>
    </row>
    <row r="7" spans="1:64" x14ac:dyDescent="0.25">
      <c r="A7" s="37" t="s">
        <v>55</v>
      </c>
      <c r="C7" s="89">
        <f>'Revenue Build'!C46</f>
        <v>1347</v>
      </c>
      <c r="D7" s="89">
        <f>'Revenue Build'!D46</f>
        <v>1496</v>
      </c>
      <c r="E7" s="89">
        <f>'Revenue Build'!E46</f>
        <v>1662</v>
      </c>
      <c r="F7" s="89">
        <f>'Revenue Build'!F46</f>
        <v>1683</v>
      </c>
      <c r="G7" s="161">
        <f>SUM(C7:F7)</f>
        <v>6188</v>
      </c>
      <c r="H7" s="89">
        <f>'Revenue Build'!H46</f>
        <v>1707</v>
      </c>
      <c r="I7" s="89">
        <f>'Revenue Build'!I46</f>
        <v>1830</v>
      </c>
      <c r="J7" s="89">
        <f>'Revenue Build'!J46</f>
        <v>1912</v>
      </c>
      <c r="K7" s="89">
        <f>'Revenue Build'!K46</f>
        <v>1942</v>
      </c>
      <c r="L7" s="161">
        <f>SUM(H7:K7)</f>
        <v>7391</v>
      </c>
      <c r="M7" s="89">
        <f>'Revenue Build'!M46</f>
        <v>1922</v>
      </c>
      <c r="N7" s="89">
        <f>'Revenue Build'!N46</f>
        <v>2053</v>
      </c>
      <c r="O7" s="89">
        <f>'Revenue Build'!O46</f>
        <v>2231</v>
      </c>
      <c r="P7" s="89">
        <f>'Revenue Build'!P46</f>
        <v>2263</v>
      </c>
      <c r="Q7" s="161">
        <f>SUM(M7:P7)</f>
        <v>8469</v>
      </c>
      <c r="R7" s="89">
        <f>'Revenue Build'!R46</f>
        <v>2200</v>
      </c>
      <c r="S7" s="89">
        <f>'Revenue Build'!S46</f>
        <v>1901</v>
      </c>
      <c r="T7" s="89">
        <f>'Revenue Build'!T46</f>
        <v>2251</v>
      </c>
      <c r="U7" s="89">
        <f>'Revenue Build'!U46</f>
        <v>2379</v>
      </c>
      <c r="V7" s="161">
        <f>SUM(R7:U7)</f>
        <v>8731</v>
      </c>
      <c r="W7" s="89">
        <f>'Revenue Build'!W46</f>
        <v>2351</v>
      </c>
      <c r="X7" s="89">
        <f>'Revenue Build'!X46</f>
        <v>2612</v>
      </c>
      <c r="Y7" s="89">
        <f>'Revenue Build'!Y46</f>
        <v>2849</v>
      </c>
      <c r="Z7" s="89">
        <f>'Revenue Build'!Z46</f>
        <v>2987</v>
      </c>
      <c r="AA7" s="161">
        <f>SUM(W7:Z7)</f>
        <v>10799</v>
      </c>
      <c r="AB7" s="89">
        <f>'Revenue Build'!AB46</f>
        <v>2912</v>
      </c>
      <c r="AC7" s="89">
        <f>'Revenue Build'!AC46</f>
        <v>3061</v>
      </c>
      <c r="AD7" s="89">
        <f>'Revenue Build'!AD46</f>
        <v>3288</v>
      </c>
      <c r="AE7" s="89">
        <f>'Revenue Build'!AE46</f>
        <v>3334</v>
      </c>
      <c r="AF7" s="161">
        <f>SUM(AB7:AE7)</f>
        <v>12595</v>
      </c>
      <c r="AG7" s="90">
        <f>'Revenue Build'!AG46</f>
        <v>2939.6428599999999</v>
      </c>
      <c r="AH7" s="90">
        <f>'Revenue Build'!AH46</f>
        <v>3162.2967300000005</v>
      </c>
      <c r="AI7" s="90">
        <f>'Revenue Build'!AI46</f>
        <v>3394.3263999999999</v>
      </c>
      <c r="AJ7" s="90">
        <f>'Revenue Build'!AJ46</f>
        <v>3521.0726394999992</v>
      </c>
      <c r="AK7" s="180">
        <f>SUM(AG7:AJ7)</f>
        <v>13017.338629499998</v>
      </c>
      <c r="BA7" s="34" t="s">
        <v>267</v>
      </c>
      <c r="BB7" s="53">
        <f>G40</f>
        <v>1795.5</v>
      </c>
      <c r="BC7" s="53">
        <f>L40</f>
        <v>1539</v>
      </c>
      <c r="BD7" s="53">
        <f>Q40</f>
        <v>1627</v>
      </c>
      <c r="BE7" s="53">
        <f>V40</f>
        <v>1267</v>
      </c>
      <c r="BF7" s="53">
        <f>AA40</f>
        <v>1512</v>
      </c>
      <c r="BG7" s="53">
        <f>AF40</f>
        <v>1921.1120000000001</v>
      </c>
      <c r="BH7" s="53">
        <f>AK40</f>
        <v>2326.8228886407474</v>
      </c>
    </row>
    <row r="8" spans="1:64" x14ac:dyDescent="0.25">
      <c r="A8" s="91" t="s">
        <v>56</v>
      </c>
      <c r="C8" s="92">
        <f>'Revenue Build'!C88</f>
        <v>561</v>
      </c>
      <c r="D8" s="92">
        <f>'Revenue Build'!D88</f>
        <v>694</v>
      </c>
      <c r="E8" s="92">
        <f>'Revenue Build'!E88</f>
        <v>747</v>
      </c>
      <c r="F8" s="92">
        <f>'Revenue Build'!F88</f>
        <v>851</v>
      </c>
      <c r="G8" s="162">
        <f>SUM(C8:F8)</f>
        <v>2853</v>
      </c>
      <c r="H8" s="92">
        <f>'Revenue Build'!H88</f>
        <v>748</v>
      </c>
      <c r="I8" s="92">
        <f>'Revenue Build'!I88</f>
        <v>785</v>
      </c>
      <c r="J8" s="92">
        <f>'Revenue Build'!J88</f>
        <v>819</v>
      </c>
      <c r="K8" s="92">
        <f>'Revenue Build'!K88</f>
        <v>996</v>
      </c>
      <c r="L8" s="162">
        <f>SUM(H8:K8)</f>
        <v>3348</v>
      </c>
      <c r="M8" s="92">
        <f>'Revenue Build'!M88</f>
        <v>842</v>
      </c>
      <c r="N8" s="92">
        <f>'Revenue Build'!N88</f>
        <v>962</v>
      </c>
      <c r="O8" s="92">
        <f>'Revenue Build'!O88</f>
        <v>1087</v>
      </c>
      <c r="P8" s="92">
        <f>'Revenue Build'!P88</f>
        <v>1233</v>
      </c>
      <c r="Q8" s="162">
        <f>SUM(M8:P8)</f>
        <v>4124</v>
      </c>
      <c r="R8" s="92">
        <f>'Revenue Build'!R88</f>
        <v>1062</v>
      </c>
      <c r="S8" s="92">
        <f>'Revenue Build'!S88</f>
        <v>1081</v>
      </c>
      <c r="T8" s="92">
        <f>'Revenue Build'!T88</f>
        <v>1143</v>
      </c>
      <c r="U8" s="92">
        <f>'Revenue Build'!U88</f>
        <v>1431</v>
      </c>
      <c r="V8" s="162">
        <f>SUM(R8:U8)</f>
        <v>4717</v>
      </c>
      <c r="W8" s="92">
        <f>'Revenue Build'!W88</f>
        <v>1347</v>
      </c>
      <c r="X8" s="92">
        <f>'Revenue Build'!X88</f>
        <v>1475</v>
      </c>
      <c r="Y8" s="92">
        <f>'Revenue Build'!Y88</f>
        <v>1562</v>
      </c>
      <c r="Z8" s="92">
        <f>'Revenue Build'!Z88</f>
        <v>1840</v>
      </c>
      <c r="AA8" s="162">
        <f>SUM(W8:Z8)</f>
        <v>6224</v>
      </c>
      <c r="AB8" s="92">
        <f>'Revenue Build'!AB88</f>
        <v>1584</v>
      </c>
      <c r="AC8" s="92">
        <f>'Revenue Build'!AC88</f>
        <v>1745</v>
      </c>
      <c r="AD8" s="92">
        <f>'Revenue Build'!AD88</f>
        <v>1824</v>
      </c>
      <c r="AE8" s="92">
        <f>'Revenue Build'!AE88</f>
        <v>2045</v>
      </c>
      <c r="AF8" s="162">
        <f>SUM(AB8:AE8)</f>
        <v>7198</v>
      </c>
      <c r="AG8" s="93">
        <f>'Revenue Build'!AG88</f>
        <v>1821.6</v>
      </c>
      <c r="AH8" s="93">
        <f>'Revenue Build'!AH88</f>
        <v>2006.7499999999998</v>
      </c>
      <c r="AI8" s="93">
        <f>'Revenue Build'!AI88</f>
        <v>2097.6</v>
      </c>
      <c r="AJ8" s="93">
        <f>'Revenue Build'!AJ88</f>
        <v>2351.75</v>
      </c>
      <c r="AK8" s="181">
        <f>SUM(AG8:AJ8)</f>
        <v>8277.6999999999989</v>
      </c>
    </row>
    <row r="9" spans="1:64" x14ac:dyDescent="0.25">
      <c r="A9" s="35" t="s">
        <v>57</v>
      </c>
      <c r="C9" s="94">
        <f t="shared" ref="C9:AB9" si="0">SUM(C5:C8)</f>
        <v>4013</v>
      </c>
      <c r="D9" s="94">
        <f t="shared" si="0"/>
        <v>4434</v>
      </c>
      <c r="E9" s="94">
        <f t="shared" si="0"/>
        <v>4868</v>
      </c>
      <c r="F9" s="94">
        <f t="shared" si="0"/>
        <v>5030</v>
      </c>
      <c r="G9" s="188">
        <f t="shared" si="0"/>
        <v>18345</v>
      </c>
      <c r="H9" s="95">
        <f t="shared" si="0"/>
        <v>5070</v>
      </c>
      <c r="I9" s="95">
        <f t="shared" si="0"/>
        <v>5350</v>
      </c>
      <c r="J9" s="94">
        <f t="shared" si="0"/>
        <v>5633</v>
      </c>
      <c r="K9" s="94">
        <f t="shared" si="0"/>
        <v>5778</v>
      </c>
      <c r="L9" s="188">
        <f t="shared" si="0"/>
        <v>21831</v>
      </c>
      <c r="M9" s="94">
        <f t="shared" si="0"/>
        <v>5632</v>
      </c>
      <c r="N9" s="94">
        <f t="shared" si="0"/>
        <v>6069</v>
      </c>
      <c r="O9" s="94">
        <f t="shared" si="0"/>
        <v>6557</v>
      </c>
      <c r="P9" s="94">
        <f t="shared" si="0"/>
        <v>6722</v>
      </c>
      <c r="Q9" s="188">
        <f t="shared" si="0"/>
        <v>24980</v>
      </c>
      <c r="R9" s="94">
        <f t="shared" si="0"/>
        <v>6162</v>
      </c>
      <c r="S9" s="94">
        <f t="shared" si="0"/>
        <v>5093</v>
      </c>
      <c r="T9" s="94">
        <f t="shared" si="0"/>
        <v>5935</v>
      </c>
      <c r="U9" s="94">
        <f t="shared" si="0"/>
        <v>6426</v>
      </c>
      <c r="V9" s="188">
        <f t="shared" si="0"/>
        <v>23616</v>
      </c>
      <c r="W9" s="94">
        <f t="shared" si="0"/>
        <v>6428</v>
      </c>
      <c r="X9" s="94">
        <f t="shared" si="0"/>
        <v>7219</v>
      </c>
      <c r="Y9" s="94">
        <f t="shared" si="0"/>
        <v>7826</v>
      </c>
      <c r="Z9" s="94">
        <f t="shared" si="0"/>
        <v>8372</v>
      </c>
      <c r="AA9" s="188">
        <f t="shared" si="0"/>
        <v>29845</v>
      </c>
      <c r="AB9" s="94">
        <f t="shared" si="0"/>
        <v>8026</v>
      </c>
      <c r="AC9" s="94">
        <f t="shared" ref="AC9" si="1">SUM(AC5:AC8)</f>
        <v>8704</v>
      </c>
      <c r="AD9" s="94">
        <f t="shared" ref="AD9:AE9" si="2">SUM(AD5:AD8)</f>
        <v>9167</v>
      </c>
      <c r="AE9" s="94">
        <f t="shared" si="2"/>
        <v>9425</v>
      </c>
      <c r="AF9" s="188">
        <f>SUM(AF5:AF8)</f>
        <v>35322</v>
      </c>
      <c r="AG9" s="96">
        <f t="shared" ref="AG9:AJ9" si="3">SUM(AG5:AG8)</f>
        <v>8482.4438646844192</v>
      </c>
      <c r="AH9" s="96">
        <f t="shared" si="3"/>
        <v>9239.0310206779668</v>
      </c>
      <c r="AI9" s="96">
        <f t="shared" si="3"/>
        <v>9830.8093596165381</v>
      </c>
      <c r="AJ9" s="96">
        <f t="shared" si="3"/>
        <v>10201.901058642525</v>
      </c>
      <c r="AK9" s="189">
        <f>SUM(AK5:AK8)</f>
        <v>37754.185303621445</v>
      </c>
      <c r="BA9" s="34" t="s">
        <v>83</v>
      </c>
      <c r="BB9" s="253">
        <f>G154</f>
        <v>437</v>
      </c>
      <c r="BC9" s="253">
        <f>L154</f>
        <v>459</v>
      </c>
      <c r="BD9" s="253">
        <f>Q154</f>
        <v>522</v>
      </c>
      <c r="BE9" s="253">
        <f>V154</f>
        <v>580</v>
      </c>
      <c r="BF9" s="253">
        <f>AA154</f>
        <v>726</v>
      </c>
      <c r="BG9" s="253">
        <f>AF154</f>
        <v>1395</v>
      </c>
      <c r="BH9" s="304">
        <f>AK154</f>
        <v>1439.6399999999999</v>
      </c>
    </row>
    <row r="10" spans="1:64" x14ac:dyDescent="0.25">
      <c r="A10" s="91" t="s">
        <v>58</v>
      </c>
      <c r="C10" s="97">
        <f>-'Revenue Build'!C94</f>
        <v>-1279</v>
      </c>
      <c r="D10" s="97">
        <f>-'Revenue Build'!D94</f>
        <v>-1381</v>
      </c>
      <c r="E10" s="97">
        <f>-'Revenue Build'!E94</f>
        <v>-1470</v>
      </c>
      <c r="F10" s="97">
        <f>-'Revenue Build'!F94</f>
        <v>-1718</v>
      </c>
      <c r="G10" s="164">
        <f>SUM(C10:F10)</f>
        <v>-5848</v>
      </c>
      <c r="H10" s="97">
        <f>-'Revenue Build'!H94</f>
        <v>-1490</v>
      </c>
      <c r="I10" s="97">
        <f>-'Revenue Build'!I94</f>
        <v>-1685</v>
      </c>
      <c r="J10" s="97">
        <f>-'Revenue Build'!J94</f>
        <v>-1735</v>
      </c>
      <c r="K10" s="97">
        <f>-'Revenue Build'!K94</f>
        <v>-1971</v>
      </c>
      <c r="L10" s="164">
        <f>SUM(H10:K10)</f>
        <v>-6881</v>
      </c>
      <c r="M10" s="97">
        <f>-'Revenue Build'!M94</f>
        <v>-1743</v>
      </c>
      <c r="N10" s="97">
        <f>-'Revenue Build'!N94</f>
        <v>-1956</v>
      </c>
      <c r="O10" s="97">
        <f>-'Revenue Build'!O94</f>
        <v>-2090</v>
      </c>
      <c r="P10" s="97">
        <f>-'Revenue Build'!P94</f>
        <v>-2308</v>
      </c>
      <c r="Q10" s="164">
        <f>SUM(M10:P10)</f>
        <v>-8097</v>
      </c>
      <c r="R10" s="97">
        <f>-'Revenue Build'!R94</f>
        <v>-2153</v>
      </c>
      <c r="S10" s="97">
        <f>-'Revenue Build'!S94</f>
        <v>-1758</v>
      </c>
      <c r="T10" s="97">
        <f>-'Revenue Build'!T94</f>
        <v>-2098</v>
      </c>
      <c r="U10" s="97">
        <f>-'Revenue Build'!U94</f>
        <v>-2306</v>
      </c>
      <c r="V10" s="164">
        <f>SUM(R10:U10)</f>
        <v>-8315</v>
      </c>
      <c r="W10" s="97">
        <f>-'Revenue Build'!W94</f>
        <v>-2273</v>
      </c>
      <c r="X10" s="97">
        <f>-'Revenue Build'!X94</f>
        <v>-2691</v>
      </c>
      <c r="Y10" s="97">
        <f>-'Revenue Build'!Y94</f>
        <v>-2841</v>
      </c>
      <c r="Z10" s="97">
        <f>-'Revenue Build'!Z94</f>
        <v>-3156</v>
      </c>
      <c r="AA10" s="164">
        <f>SUM(W10:Z10)</f>
        <v>-10961</v>
      </c>
      <c r="AB10" s="97">
        <f>-'Revenue Build'!AB94-30</f>
        <v>-2920</v>
      </c>
      <c r="AC10" s="97">
        <f>-'Revenue Build'!AC94</f>
        <v>-3213</v>
      </c>
      <c r="AD10" s="97">
        <f>-'Revenue Build'!AD94</f>
        <v>-3411</v>
      </c>
      <c r="AE10" s="97">
        <f>-'Revenue Build'!AE94</f>
        <v>-3608</v>
      </c>
      <c r="AF10" s="164">
        <f>SUM(AB10:AE10)</f>
        <v>-13152</v>
      </c>
      <c r="AG10" s="98">
        <f>-'Revenue Build'!AG94</f>
        <v>-3034.3643656397471</v>
      </c>
      <c r="AH10" s="98">
        <f>-'Revenue Build'!AH94</f>
        <v>-3123.7402811725087</v>
      </c>
      <c r="AI10" s="98">
        <f>-'Revenue Build'!AI94</f>
        <v>-3289.7624999999998</v>
      </c>
      <c r="AJ10" s="98">
        <f>-'Revenue Build'!AJ94</f>
        <v>-3789.5480000000002</v>
      </c>
      <c r="AK10" s="182">
        <f>SUM(AG10:AJ10)</f>
        <v>-13237.415146812256</v>
      </c>
      <c r="BA10" s="34" t="s">
        <v>220</v>
      </c>
      <c r="BB10" s="253">
        <f>G150</f>
        <v>423</v>
      </c>
      <c r="BC10" s="253">
        <f>L150</f>
        <v>504</v>
      </c>
      <c r="BD10" s="253">
        <f>Q150</f>
        <v>728</v>
      </c>
      <c r="BE10" s="253">
        <f>V150</f>
        <v>708</v>
      </c>
      <c r="BF10" s="253">
        <f>AA150</f>
        <v>796</v>
      </c>
      <c r="BG10" s="253">
        <f>AF150</f>
        <v>922</v>
      </c>
      <c r="BH10">
        <f>AK150</f>
        <v>1288.6847700665517</v>
      </c>
    </row>
    <row r="11" spans="1:64" x14ac:dyDescent="0.25">
      <c r="A11" s="35" t="s">
        <v>141</v>
      </c>
      <c r="C11" s="94">
        <f t="shared" ref="C11:AA11" si="4">C9+C10</f>
        <v>2734</v>
      </c>
      <c r="D11" s="94">
        <f t="shared" si="4"/>
        <v>3053</v>
      </c>
      <c r="E11" s="94">
        <f t="shared" si="4"/>
        <v>3398</v>
      </c>
      <c r="F11" s="94">
        <f t="shared" si="4"/>
        <v>3312</v>
      </c>
      <c r="G11" s="188">
        <f t="shared" si="4"/>
        <v>12497</v>
      </c>
      <c r="H11" s="95">
        <f t="shared" si="4"/>
        <v>3580</v>
      </c>
      <c r="I11" s="95">
        <f t="shared" si="4"/>
        <v>3665</v>
      </c>
      <c r="J11" s="95">
        <f t="shared" si="4"/>
        <v>3898</v>
      </c>
      <c r="K11" s="94">
        <f t="shared" si="4"/>
        <v>3807</v>
      </c>
      <c r="L11" s="188">
        <f t="shared" si="4"/>
        <v>14950</v>
      </c>
      <c r="M11" s="94">
        <f t="shared" si="4"/>
        <v>3889</v>
      </c>
      <c r="N11" s="94">
        <f t="shared" si="4"/>
        <v>4113</v>
      </c>
      <c r="O11" s="94">
        <f t="shared" si="4"/>
        <v>4467</v>
      </c>
      <c r="P11" s="94">
        <f t="shared" si="4"/>
        <v>4414</v>
      </c>
      <c r="Q11" s="188">
        <f t="shared" si="4"/>
        <v>16883</v>
      </c>
      <c r="R11" s="94">
        <f t="shared" si="4"/>
        <v>4009</v>
      </c>
      <c r="S11" s="94">
        <f t="shared" si="4"/>
        <v>3335</v>
      </c>
      <c r="T11" s="94">
        <f t="shared" si="4"/>
        <v>3837</v>
      </c>
      <c r="U11" s="94">
        <f t="shared" si="4"/>
        <v>4120</v>
      </c>
      <c r="V11" s="188">
        <f t="shared" si="4"/>
        <v>15301</v>
      </c>
      <c r="W11" s="94">
        <f t="shared" si="4"/>
        <v>4155</v>
      </c>
      <c r="X11" s="94">
        <f t="shared" si="4"/>
        <v>4528</v>
      </c>
      <c r="Y11" s="94">
        <f t="shared" si="4"/>
        <v>4985</v>
      </c>
      <c r="Z11" s="94">
        <f t="shared" si="4"/>
        <v>5216</v>
      </c>
      <c r="AA11" s="188">
        <f t="shared" si="4"/>
        <v>18884</v>
      </c>
      <c r="AB11" s="94">
        <f>AB9+AB10+31</f>
        <v>5137</v>
      </c>
      <c r="AC11" s="94">
        <f>AC9+AC10</f>
        <v>5491</v>
      </c>
      <c r="AD11" s="94">
        <f t="shared" ref="AD11:AE11" si="5">AD9+AD10</f>
        <v>5756</v>
      </c>
      <c r="AE11" s="94">
        <f t="shared" si="5"/>
        <v>5817</v>
      </c>
      <c r="AF11" s="188">
        <f>AF9+AF10</f>
        <v>22170</v>
      </c>
      <c r="AG11" s="96">
        <f t="shared" ref="AG11:AJ11" si="6">AG9+AG10</f>
        <v>5448.079499044672</v>
      </c>
      <c r="AH11" s="96">
        <f t="shared" si="6"/>
        <v>6115.2907395054581</v>
      </c>
      <c r="AI11" s="96">
        <f t="shared" si="6"/>
        <v>6541.0468596165383</v>
      </c>
      <c r="AJ11" s="96">
        <f t="shared" si="6"/>
        <v>6412.353058642524</v>
      </c>
      <c r="AK11" s="189">
        <f>AK9+AK10</f>
        <v>24516.770156809187</v>
      </c>
      <c r="BA11" s="34" t="s">
        <v>246</v>
      </c>
      <c r="BB11" s="253">
        <f>G157</f>
        <v>-848</v>
      </c>
      <c r="BC11" s="253">
        <f>L157</f>
        <v>-2037</v>
      </c>
      <c r="BD11" s="253">
        <f>Q157</f>
        <v>-1126</v>
      </c>
      <c r="BE11" s="253">
        <f>V157</f>
        <v>-1364</v>
      </c>
      <c r="BF11" s="253">
        <f>AA157</f>
        <v>764</v>
      </c>
      <c r="BG11" s="253">
        <f>AF157</f>
        <v>-304</v>
      </c>
      <c r="BH11" s="253">
        <f>AK157</f>
        <v>-301.48971554452692</v>
      </c>
    </row>
    <row r="12" spans="1:64" x14ac:dyDescent="0.25">
      <c r="A12" s="36" t="s">
        <v>59</v>
      </c>
      <c r="C12" s="99" t="s">
        <v>2</v>
      </c>
      <c r="D12" s="100" t="s">
        <v>2</v>
      </c>
      <c r="E12" s="99" t="s">
        <v>2</v>
      </c>
      <c r="F12" s="100" t="s">
        <v>2</v>
      </c>
      <c r="G12" s="163"/>
      <c r="H12" s="101">
        <f t="shared" ref="H12:AF12" si="7">H11/C11-1</f>
        <v>0.30943672275054857</v>
      </c>
      <c r="I12" s="101">
        <f t="shared" si="7"/>
        <v>0.20045856534556172</v>
      </c>
      <c r="J12" s="101">
        <f t="shared" si="7"/>
        <v>0.14714537963507945</v>
      </c>
      <c r="K12" s="101">
        <f t="shared" si="7"/>
        <v>0.14945652173913038</v>
      </c>
      <c r="L12" s="170">
        <f t="shared" si="7"/>
        <v>0.19628710890613754</v>
      </c>
      <c r="M12" s="101">
        <f t="shared" si="7"/>
        <v>8.6312849162011096E-2</v>
      </c>
      <c r="N12" s="101">
        <f t="shared" si="7"/>
        <v>0.12223738062755807</v>
      </c>
      <c r="O12" s="101">
        <f t="shared" si="7"/>
        <v>0.14597229348383789</v>
      </c>
      <c r="P12" s="101">
        <f t="shared" si="7"/>
        <v>0.15944313107433672</v>
      </c>
      <c r="Q12" s="170">
        <f t="shared" si="7"/>
        <v>0.12929765886287625</v>
      </c>
      <c r="R12" s="101">
        <f t="shared" si="7"/>
        <v>3.0856261249678552E-2</v>
      </c>
      <c r="S12" s="101">
        <f t="shared" si="7"/>
        <v>-0.18915633357646489</v>
      </c>
      <c r="T12" s="101">
        <f t="shared" si="7"/>
        <v>-0.14103425117528545</v>
      </c>
      <c r="U12" s="101">
        <f t="shared" si="7"/>
        <v>-6.6606252831898471E-2</v>
      </c>
      <c r="V12" s="170">
        <f t="shared" si="7"/>
        <v>-9.3703725641177571E-2</v>
      </c>
      <c r="W12" s="101">
        <f t="shared" si="7"/>
        <v>3.6418059366425615E-2</v>
      </c>
      <c r="X12" s="101">
        <f t="shared" si="7"/>
        <v>0.35772113943028483</v>
      </c>
      <c r="Y12" s="101">
        <f t="shared" si="7"/>
        <v>0.29919207714360185</v>
      </c>
      <c r="Z12" s="101">
        <f t="shared" si="7"/>
        <v>0.26601941747572821</v>
      </c>
      <c r="AA12" s="170">
        <f t="shared" si="7"/>
        <v>0.23416770145742105</v>
      </c>
      <c r="AB12" s="101">
        <f t="shared" si="7"/>
        <v>0.2363417569193742</v>
      </c>
      <c r="AC12" s="101">
        <f t="shared" si="7"/>
        <v>0.21267667844522964</v>
      </c>
      <c r="AD12" s="101">
        <f t="shared" si="7"/>
        <v>0.15466399197592784</v>
      </c>
      <c r="AE12" s="101">
        <f t="shared" si="7"/>
        <v>0.11522239263803691</v>
      </c>
      <c r="AF12" s="170">
        <f t="shared" si="7"/>
        <v>0.17400974369836897</v>
      </c>
      <c r="AG12" s="102">
        <f t="shared" ref="AG12:AJ12" si="8">AG11/AB11-1</f>
        <v>6.0556647662969088E-2</v>
      </c>
      <c r="AH12" s="102">
        <f t="shared" si="8"/>
        <v>0.11369345101173889</v>
      </c>
      <c r="AI12" s="102">
        <f t="shared" si="8"/>
        <v>0.13638757116340128</v>
      </c>
      <c r="AJ12" s="102">
        <f t="shared" si="8"/>
        <v>0.10234709620810101</v>
      </c>
      <c r="AK12" s="183">
        <f>AK11/AF11-1</f>
        <v>0.10585341257596692</v>
      </c>
      <c r="BA12" s="34" t="s">
        <v>269</v>
      </c>
    </row>
    <row r="13" spans="1:64" x14ac:dyDescent="0.25">
      <c r="A13" s="36"/>
      <c r="C13" s="103"/>
      <c r="D13" s="104"/>
      <c r="E13" s="103"/>
      <c r="F13" s="104"/>
      <c r="G13" s="163"/>
      <c r="H13" s="105"/>
      <c r="I13" s="105"/>
      <c r="J13" s="105"/>
      <c r="K13" s="105"/>
      <c r="L13" s="171"/>
      <c r="M13" s="105"/>
      <c r="N13" s="105"/>
      <c r="O13" s="105"/>
      <c r="P13" s="105"/>
      <c r="Q13" s="171"/>
      <c r="R13" s="105"/>
      <c r="S13" s="105"/>
      <c r="T13" s="105"/>
      <c r="U13" s="105"/>
      <c r="V13" s="171"/>
      <c r="W13" s="105"/>
      <c r="X13" s="105"/>
      <c r="AE13" s="55"/>
    </row>
    <row r="14" spans="1:64" x14ac:dyDescent="0.25">
      <c r="A14" s="106" t="s">
        <v>78</v>
      </c>
      <c r="AE14" s="55"/>
    </row>
    <row r="15" spans="1:64" x14ac:dyDescent="0.25">
      <c r="A15" s="107" t="s">
        <v>79</v>
      </c>
      <c r="C15" s="142">
        <v>951</v>
      </c>
      <c r="D15" s="142">
        <v>1075</v>
      </c>
      <c r="E15" s="142">
        <v>1136</v>
      </c>
      <c r="F15" s="142">
        <f>1364-167</f>
        <v>1197</v>
      </c>
      <c r="G15" s="185">
        <f>SUM(C15:F15)</f>
        <v>4359</v>
      </c>
      <c r="H15" s="143">
        <v>1321</v>
      </c>
      <c r="I15" s="143">
        <v>1185</v>
      </c>
      <c r="J15" s="143">
        <v>1268</v>
      </c>
      <c r="K15" s="142">
        <f>1401</f>
        <v>1401</v>
      </c>
      <c r="L15" s="185">
        <f>SUM(H15:K15)</f>
        <v>5175</v>
      </c>
      <c r="M15" s="143">
        <v>1367</v>
      </c>
      <c r="N15" s="142">
        <v>1369</v>
      </c>
      <c r="O15" s="142">
        <v>1448</v>
      </c>
      <c r="P15" s="142">
        <f>5763-SUM(M15:O15)</f>
        <v>1579</v>
      </c>
      <c r="Q15" s="185">
        <f>SUM(M15:P15)</f>
        <v>5763</v>
      </c>
      <c r="R15" s="143">
        <v>1494</v>
      </c>
      <c r="S15" s="142">
        <f>1368-22</f>
        <v>1346</v>
      </c>
      <c r="T15" s="142">
        <v>1423</v>
      </c>
      <c r="U15" s="142">
        <v>1625</v>
      </c>
      <c r="V15" s="185">
        <f>SUM(R15:U15)</f>
        <v>5888</v>
      </c>
      <c r="W15" s="143">
        <v>1676</v>
      </c>
      <c r="X15" s="142">
        <v>1718</v>
      </c>
      <c r="Y15" s="142">
        <v>1748</v>
      </c>
      <c r="Z15" s="144">
        <v>1862</v>
      </c>
      <c r="AA15" s="185">
        <f>SUM(W15:Z15)</f>
        <v>7004</v>
      </c>
      <c r="AB15" s="151">
        <v>1809</v>
      </c>
      <c r="AC15" s="151">
        <v>1914</v>
      </c>
      <c r="AD15" s="151">
        <v>2069</v>
      </c>
      <c r="AE15" s="151">
        <v>2218</v>
      </c>
      <c r="AF15" s="185">
        <f>SUM(AB15:AE15)</f>
        <v>8010</v>
      </c>
      <c r="AG15" s="153">
        <f>AG16*AG11</f>
        <v>2043.029812141752</v>
      </c>
      <c r="AH15" s="153">
        <f>AH16*AH11</f>
        <v>2201.5046662219647</v>
      </c>
      <c r="AI15" s="153">
        <f>AI16*AI11</f>
        <v>2322.0716351638712</v>
      </c>
      <c r="AJ15" s="153">
        <f>AJ16*AJ11</f>
        <v>2372.5706316977339</v>
      </c>
      <c r="AK15" s="192">
        <f>SUM(AG15:AJ15)</f>
        <v>8939.1767452253225</v>
      </c>
    </row>
    <row r="16" spans="1:64" x14ac:dyDescent="0.25">
      <c r="A16" s="111" t="s">
        <v>82</v>
      </c>
      <c r="C16" s="112">
        <f>C15/C$11</f>
        <v>0.34784198975859548</v>
      </c>
      <c r="D16" s="112">
        <f t="shared" ref="D16:Z16" si="9">D15/D$11</f>
        <v>0.352112676056338</v>
      </c>
      <c r="E16" s="112">
        <f t="shared" si="9"/>
        <v>0.33431430253090055</v>
      </c>
      <c r="F16" s="112">
        <f t="shared" si="9"/>
        <v>0.36141304347826086</v>
      </c>
      <c r="G16" s="166">
        <f>G15/G11</f>
        <v>0.34880371289109385</v>
      </c>
      <c r="H16" s="112">
        <f t="shared" si="9"/>
        <v>0.36899441340782124</v>
      </c>
      <c r="I16" s="112">
        <f t="shared" si="9"/>
        <v>0.32332878581173263</v>
      </c>
      <c r="J16" s="112">
        <f t="shared" si="9"/>
        <v>0.32529502308876346</v>
      </c>
      <c r="K16" s="112">
        <f t="shared" si="9"/>
        <v>0.36800630417651692</v>
      </c>
      <c r="L16" s="166">
        <f>L15/L11</f>
        <v>0.34615384615384615</v>
      </c>
      <c r="M16" s="112">
        <f t="shared" si="9"/>
        <v>0.35150424273592185</v>
      </c>
      <c r="N16" s="112">
        <f t="shared" si="9"/>
        <v>0.33284707026501337</v>
      </c>
      <c r="O16" s="112">
        <f t="shared" si="9"/>
        <v>0.32415491381240208</v>
      </c>
      <c r="P16" s="112">
        <f t="shared" si="9"/>
        <v>0.35772541912097872</v>
      </c>
      <c r="Q16" s="166">
        <f>Q15/Q11</f>
        <v>0.34134928626428951</v>
      </c>
      <c r="R16" s="112">
        <f t="shared" si="9"/>
        <v>0.37266151159890248</v>
      </c>
      <c r="S16" s="112">
        <f t="shared" si="9"/>
        <v>0.40359820089955023</v>
      </c>
      <c r="T16" s="112">
        <f t="shared" si="9"/>
        <v>0.3708626531144123</v>
      </c>
      <c r="U16" s="112">
        <f t="shared" si="9"/>
        <v>0.39441747572815533</v>
      </c>
      <c r="V16" s="166">
        <f>V15/V11</f>
        <v>0.38481145023201097</v>
      </c>
      <c r="W16" s="112">
        <f t="shared" si="9"/>
        <v>0.4033694344163658</v>
      </c>
      <c r="X16" s="112">
        <f t="shared" si="9"/>
        <v>0.37941696113074203</v>
      </c>
      <c r="Y16" s="112">
        <f t="shared" si="9"/>
        <v>0.35065195586760278</v>
      </c>
      <c r="Z16" s="112">
        <f t="shared" si="9"/>
        <v>0.35697852760736198</v>
      </c>
      <c r="AA16" s="166">
        <f>AA15/AA11</f>
        <v>0.37089599661088751</v>
      </c>
      <c r="AB16" s="112">
        <f t="shared" ref="AB16:AE16" si="10">AB15/AB$11</f>
        <v>0.35215106093050419</v>
      </c>
      <c r="AC16" s="112">
        <f t="shared" si="10"/>
        <v>0.34857038790748496</v>
      </c>
      <c r="AD16" s="112">
        <f t="shared" si="10"/>
        <v>0.35945100764419735</v>
      </c>
      <c r="AE16" s="112">
        <f t="shared" si="10"/>
        <v>0.38129620079078563</v>
      </c>
      <c r="AF16" s="166">
        <f>AF15/AF11</f>
        <v>0.36129905277401897</v>
      </c>
      <c r="AG16" s="113">
        <v>0.375</v>
      </c>
      <c r="AH16" s="113">
        <v>0.36</v>
      </c>
      <c r="AI16" s="113">
        <v>0.35499999999999998</v>
      </c>
      <c r="AJ16" s="113">
        <v>0.37</v>
      </c>
      <c r="AK16" s="193">
        <f>AK15/AK11</f>
        <v>0.36461477951827975</v>
      </c>
    </row>
    <row r="17" spans="1:37" x14ac:dyDescent="0.25">
      <c r="A17" s="111" t="s">
        <v>80</v>
      </c>
      <c r="C17" s="99" t="s">
        <v>2</v>
      </c>
      <c r="D17" s="100" t="s">
        <v>2</v>
      </c>
      <c r="E17" s="99" t="s">
        <v>2</v>
      </c>
      <c r="F17" s="100" t="s">
        <v>2</v>
      </c>
      <c r="G17" s="167"/>
      <c r="H17" s="115">
        <f>H15/C15-1</f>
        <v>0.3890641430073607</v>
      </c>
      <c r="I17" s="115">
        <f t="shared" ref="I17:K17" si="11">I15/D15-1</f>
        <v>0.10232558139534875</v>
      </c>
      <c r="J17" s="115">
        <f t="shared" si="11"/>
        <v>0.11619718309859151</v>
      </c>
      <c r="K17" s="115">
        <f t="shared" si="11"/>
        <v>0.17042606516290726</v>
      </c>
      <c r="L17" s="186">
        <f>L15/G15-1</f>
        <v>0.18719889883000684</v>
      </c>
      <c r="M17" s="115">
        <f>M15/H15-1</f>
        <v>3.4822104466313508E-2</v>
      </c>
      <c r="N17" s="115">
        <f t="shared" ref="N17" si="12">N15/I15-1</f>
        <v>0.15527426160337554</v>
      </c>
      <c r="O17" s="115">
        <f t="shared" ref="O17" si="13">O15/J15-1</f>
        <v>0.14195583596214512</v>
      </c>
      <c r="P17" s="115">
        <f t="shared" ref="P17" si="14">P15/K15-1</f>
        <v>0.1270521056388294</v>
      </c>
      <c r="Q17" s="186">
        <f>Q15/L15-1</f>
        <v>0.11362318840579699</v>
      </c>
      <c r="R17" s="115">
        <f>R15/M15-1</f>
        <v>9.2904169714703722E-2</v>
      </c>
      <c r="S17" s="115">
        <f t="shared" ref="S17" si="15">S15/N15-1</f>
        <v>-1.6800584368151905E-2</v>
      </c>
      <c r="T17" s="115">
        <f t="shared" ref="T17" si="16">T15/O15-1</f>
        <v>-1.7265193370165743E-2</v>
      </c>
      <c r="U17" s="115">
        <f t="shared" ref="U17" si="17">U15/P15-1</f>
        <v>2.9132362254591593E-2</v>
      </c>
      <c r="V17" s="186">
        <f>V15/Q15-1</f>
        <v>2.1690091965989922E-2</v>
      </c>
      <c r="W17" s="115">
        <f>W15/R15-1</f>
        <v>0.12182061579651937</v>
      </c>
      <c r="X17" s="115">
        <f t="shared" ref="X17" si="18">X15/S15-1</f>
        <v>0.27637444279346202</v>
      </c>
      <c r="Y17" s="115">
        <f t="shared" ref="Y17" si="19">Y15/T15-1</f>
        <v>0.22839072382290926</v>
      </c>
      <c r="Z17" s="115">
        <f t="shared" ref="Z17" si="20">Z15/U15-1</f>
        <v>0.14584615384615374</v>
      </c>
      <c r="AA17" s="186">
        <f>AA15/V15-1</f>
        <v>0.18953804347826098</v>
      </c>
      <c r="AB17" s="115">
        <f>AB15/W15-1</f>
        <v>7.9355608591885396E-2</v>
      </c>
      <c r="AC17" s="115">
        <f t="shared" ref="AC17" si="21">AC15/X15-1</f>
        <v>0.11408614668218853</v>
      </c>
      <c r="AD17" s="115">
        <f t="shared" ref="AD17" si="22">AD15/Y15-1</f>
        <v>0.18363844393592688</v>
      </c>
      <c r="AE17" s="115">
        <f>AE15/Z15-1</f>
        <v>0.19119226638023634</v>
      </c>
      <c r="AF17" s="186">
        <f>AF15/AA15-1</f>
        <v>0.14363221016561956</v>
      </c>
      <c r="AG17" s="116">
        <f>AG15/AB15-1</f>
        <v>0.12936971373231176</v>
      </c>
      <c r="AH17" s="116">
        <f t="shared" ref="AH17:AJ17" si="23">AH15/AC15-1</f>
        <v>0.15021142435839319</v>
      </c>
      <c r="AI17" s="116">
        <f t="shared" si="23"/>
        <v>0.1223159183972311</v>
      </c>
      <c r="AJ17" s="116">
        <f t="shared" si="23"/>
        <v>6.9689193732071164E-2</v>
      </c>
      <c r="AK17" s="179">
        <f>AK15/AF15-1</f>
        <v>0.11600209053999033</v>
      </c>
    </row>
    <row r="18" spans="1:37" x14ac:dyDescent="0.25">
      <c r="A18" s="117" t="s">
        <v>81</v>
      </c>
      <c r="C18" s="142">
        <v>170</v>
      </c>
      <c r="D18" s="142">
        <v>214</v>
      </c>
      <c r="E18" s="142">
        <v>203</v>
      </c>
      <c r="F18" s="142">
        <v>311</v>
      </c>
      <c r="G18" s="185">
        <f>SUM(C18:F18)</f>
        <v>898</v>
      </c>
      <c r="H18" s="143">
        <v>197</v>
      </c>
      <c r="I18" s="143">
        <v>204</v>
      </c>
      <c r="J18" s="143">
        <v>203</v>
      </c>
      <c r="K18" s="142">
        <v>302</v>
      </c>
      <c r="L18" s="185">
        <f>SUM(H18:K18)</f>
        <v>906</v>
      </c>
      <c r="M18" s="143">
        <v>192</v>
      </c>
      <c r="N18" s="142">
        <v>225</v>
      </c>
      <c r="O18" s="142">
        <v>227</v>
      </c>
      <c r="P18" s="142">
        <f>934-SUM(M18:O18)</f>
        <v>290</v>
      </c>
      <c r="Q18" s="185">
        <f>SUM(M18:P18)</f>
        <v>934</v>
      </c>
      <c r="R18" s="143">
        <v>154</v>
      </c>
      <c r="S18" s="142">
        <v>93</v>
      </c>
      <c r="T18" s="142">
        <v>168</v>
      </c>
      <c r="U18" s="142">
        <v>242</v>
      </c>
      <c r="V18" s="185">
        <f>SUM(R18:U18)</f>
        <v>657</v>
      </c>
      <c r="W18" s="143">
        <v>119</v>
      </c>
      <c r="X18" s="142">
        <v>216</v>
      </c>
      <c r="Y18" s="142">
        <v>222</v>
      </c>
      <c r="Z18" s="144">
        <f>895-SUM(W18:Y18)</f>
        <v>338</v>
      </c>
      <c r="AA18" s="185">
        <f>SUM(W18:Z18)</f>
        <v>895</v>
      </c>
      <c r="AB18" s="34">
        <v>181</v>
      </c>
      <c r="AC18" s="34">
        <v>210</v>
      </c>
      <c r="AD18" s="34">
        <v>182</v>
      </c>
      <c r="AE18" s="34">
        <v>216</v>
      </c>
      <c r="AF18" s="185">
        <f>SUM(AB18:AE18)</f>
        <v>789</v>
      </c>
      <c r="AG18" s="152">
        <f>AG11*AG19</f>
        <v>201.57894146465284</v>
      </c>
      <c r="AH18" s="152">
        <f>AH11*AH19</f>
        <v>226.26575736170193</v>
      </c>
      <c r="AI18" s="152">
        <f>AI11*AI19</f>
        <v>242.01873380581191</v>
      </c>
      <c r="AJ18" s="152">
        <f>AJ11*AJ19</f>
        <v>237.25706316977337</v>
      </c>
      <c r="AK18" s="192">
        <f>SUM(AG18:AJ18)</f>
        <v>907.12049580194002</v>
      </c>
    </row>
    <row r="19" spans="1:37" x14ac:dyDescent="0.25">
      <c r="A19" s="111" t="s">
        <v>82</v>
      </c>
      <c r="C19" s="112">
        <f>C18/C$11</f>
        <v>6.2179956108266279E-2</v>
      </c>
      <c r="D19" s="112">
        <f t="shared" ref="D19:F21" si="24">D18/D$11</f>
        <v>7.0094988535866362E-2</v>
      </c>
      <c r="E19" s="112">
        <f t="shared" si="24"/>
        <v>5.9741024131842263E-2</v>
      </c>
      <c r="F19" s="112">
        <f t="shared" si="24"/>
        <v>9.390096618357488E-2</v>
      </c>
      <c r="G19" s="186">
        <f>G18/G11</f>
        <v>7.1857245738977352E-2</v>
      </c>
      <c r="H19" s="112">
        <f>H18/H$11</f>
        <v>5.5027932960893852E-2</v>
      </c>
      <c r="I19" s="112">
        <f t="shared" ref="I19:I21" si="25">I18/I$11</f>
        <v>5.5661664392905867E-2</v>
      </c>
      <c r="J19" s="112">
        <f t="shared" ref="J19:J21" si="26">J18/J$11</f>
        <v>5.207798871216008E-2</v>
      </c>
      <c r="K19" s="112">
        <f t="shared" ref="K19:K21" si="27">K18/K$11</f>
        <v>7.9327554504859468E-2</v>
      </c>
      <c r="L19" s="186">
        <f>L18/L11</f>
        <v>6.0602006688963213E-2</v>
      </c>
      <c r="M19" s="112">
        <f>M18/M$11</f>
        <v>4.9370017999485732E-2</v>
      </c>
      <c r="N19" s="112">
        <f t="shared" ref="N19:N21" si="28">N18/N$11</f>
        <v>5.4704595185995623E-2</v>
      </c>
      <c r="O19" s="112">
        <f t="shared" ref="O19:O21" si="29">O18/O$11</f>
        <v>5.0817103201253641E-2</v>
      </c>
      <c r="P19" s="112">
        <f t="shared" ref="P19:P21" si="30">P18/P$11</f>
        <v>6.5700045310376071E-2</v>
      </c>
      <c r="Q19" s="186">
        <f>Q18/Q11</f>
        <v>5.5321921459456261E-2</v>
      </c>
      <c r="R19" s="112">
        <f>R18/R$11</f>
        <v>3.8413569468695438E-2</v>
      </c>
      <c r="S19" s="112">
        <f t="shared" ref="S19:S21" si="31">S18/S$11</f>
        <v>2.7886056971514243E-2</v>
      </c>
      <c r="T19" s="112">
        <f t="shared" ref="T19:T21" si="32">T18/T$11</f>
        <v>4.3784206411258797E-2</v>
      </c>
      <c r="U19" s="112">
        <f t="shared" ref="U19:U21" si="33">U18/U$11</f>
        <v>5.8737864077669906E-2</v>
      </c>
      <c r="V19" s="186">
        <f>V18/V11</f>
        <v>4.2938370041173776E-2</v>
      </c>
      <c r="W19" s="112">
        <f>W18/W$11</f>
        <v>2.8640192539109505E-2</v>
      </c>
      <c r="X19" s="112">
        <f t="shared" ref="X19:X21" si="34">X18/X$11</f>
        <v>4.7703180212014133E-2</v>
      </c>
      <c r="Y19" s="112">
        <f t="shared" ref="Y19:Y21" si="35">Y18/Y$11</f>
        <v>4.4533600802407224E-2</v>
      </c>
      <c r="Z19" s="112">
        <f t="shared" ref="Z19:Z21" si="36">Z18/Z$11</f>
        <v>6.4800613496932516E-2</v>
      </c>
      <c r="AA19" s="186">
        <f>AA18/AA11</f>
        <v>4.7394619783944082E-2</v>
      </c>
      <c r="AB19" s="112">
        <f>AB18/AB$11</f>
        <v>3.5234572707806111E-2</v>
      </c>
      <c r="AC19" s="112">
        <f t="shared" ref="AC19:AE21" si="37">AC18/AC$11</f>
        <v>3.8244399927153526E-2</v>
      </c>
      <c r="AD19" s="112">
        <f t="shared" si="37"/>
        <v>3.1619179986101462E-2</v>
      </c>
      <c r="AE19" s="112">
        <f t="shared" si="37"/>
        <v>3.7132542547705004E-2</v>
      </c>
      <c r="AF19" s="186">
        <f>AF18/AF11</f>
        <v>3.5588633288227332E-2</v>
      </c>
      <c r="AG19" s="116">
        <v>3.6999999999999998E-2</v>
      </c>
      <c r="AH19" s="116">
        <v>3.6999999999999998E-2</v>
      </c>
      <c r="AI19" s="116">
        <v>3.6999999999999998E-2</v>
      </c>
      <c r="AJ19" s="116">
        <v>3.6999999999999998E-2</v>
      </c>
      <c r="AK19" s="179">
        <f>AK18/AK11</f>
        <v>3.7000000000000005E-2</v>
      </c>
    </row>
    <row r="20" spans="1:37" x14ac:dyDescent="0.25">
      <c r="A20" s="117" t="s">
        <v>83</v>
      </c>
      <c r="C20" s="145">
        <f>C117</f>
        <v>92</v>
      </c>
      <c r="D20" s="145">
        <f t="shared" ref="D20:F20" si="38">D117</f>
        <v>111</v>
      </c>
      <c r="E20" s="145">
        <f t="shared" si="38"/>
        <v>118</v>
      </c>
      <c r="F20" s="145">
        <f t="shared" si="38"/>
        <v>116</v>
      </c>
      <c r="G20" s="187">
        <f>SUM(C20:F20)</f>
        <v>437</v>
      </c>
      <c r="H20" s="145">
        <f>H117</f>
        <v>120</v>
      </c>
      <c r="I20" s="145">
        <f t="shared" ref="I20:K20" si="39">I117</f>
        <v>115</v>
      </c>
      <c r="J20" s="145">
        <f t="shared" si="39"/>
        <v>111</v>
      </c>
      <c r="K20" s="145">
        <f t="shared" si="39"/>
        <v>113</v>
      </c>
      <c r="L20" s="187">
        <f>SUM(H20:K20)</f>
        <v>459</v>
      </c>
      <c r="M20" s="145">
        <f>M117</f>
        <v>117</v>
      </c>
      <c r="N20" s="145">
        <f t="shared" ref="N20:P20" si="40">N117</f>
        <v>122</v>
      </c>
      <c r="O20" s="145">
        <f t="shared" si="40"/>
        <v>137</v>
      </c>
      <c r="P20" s="145">
        <f t="shared" si="40"/>
        <v>146</v>
      </c>
      <c r="Q20" s="187">
        <f>SUM(M20:P20)</f>
        <v>522</v>
      </c>
      <c r="R20" s="145">
        <f>R117</f>
        <v>144</v>
      </c>
      <c r="S20" s="145">
        <f t="shared" ref="S20:U20" si="41">S117</f>
        <v>145</v>
      </c>
      <c r="T20" s="145">
        <f t="shared" si="41"/>
        <v>141</v>
      </c>
      <c r="U20" s="145">
        <f t="shared" si="41"/>
        <v>150</v>
      </c>
      <c r="V20" s="187">
        <f>SUM(R20:U20)</f>
        <v>580</v>
      </c>
      <c r="W20" s="145">
        <f>W117</f>
        <v>163</v>
      </c>
      <c r="X20" s="145">
        <f t="shared" ref="X20:Z20" si="42">X117</f>
        <v>186</v>
      </c>
      <c r="Y20" s="145">
        <f t="shared" si="42"/>
        <v>188</v>
      </c>
      <c r="Z20" s="145">
        <f t="shared" si="42"/>
        <v>189</v>
      </c>
      <c r="AA20" s="187">
        <f>SUM(W20:Z20)</f>
        <v>726</v>
      </c>
      <c r="AB20" s="145">
        <f>AB117</f>
        <v>837</v>
      </c>
      <c r="AC20" s="145">
        <f t="shared" ref="AC20:AD20" si="43">AC117</f>
        <v>189</v>
      </c>
      <c r="AD20" s="145">
        <f t="shared" si="43"/>
        <v>185</v>
      </c>
      <c r="AE20" s="145">
        <v>184</v>
      </c>
      <c r="AF20" s="187">
        <f>SUM(AB20:AE20)</f>
        <v>1395</v>
      </c>
      <c r="AG20" s="152">
        <f>AB20*(1+AG21)</f>
        <v>863.78399999999999</v>
      </c>
      <c r="AH20" s="152">
        <f t="shared" ref="AH20:AJ20" si="44">AC20*(1+AH21)</f>
        <v>195.048</v>
      </c>
      <c r="AI20" s="152">
        <f t="shared" si="44"/>
        <v>190.92000000000002</v>
      </c>
      <c r="AJ20" s="152">
        <f t="shared" si="44"/>
        <v>189.88800000000001</v>
      </c>
      <c r="AK20" s="194">
        <f>SUM(AG20:AJ20)</f>
        <v>1439.6399999999999</v>
      </c>
    </row>
    <row r="21" spans="1:37" x14ac:dyDescent="0.25">
      <c r="A21" s="111" t="s">
        <v>82</v>
      </c>
      <c r="C21" s="112">
        <f>C20/C$11</f>
        <v>3.3650329188002925E-2</v>
      </c>
      <c r="D21" s="112">
        <f t="shared" si="24"/>
        <v>3.6357680969538161E-2</v>
      </c>
      <c r="E21" s="112">
        <f t="shared" si="24"/>
        <v>3.4726309593878756E-2</v>
      </c>
      <c r="F21" s="112">
        <f t="shared" si="24"/>
        <v>3.5024154589371984E-2</v>
      </c>
      <c r="G21" s="186">
        <f>G20/G11</f>
        <v>3.49683924141794E-2</v>
      </c>
      <c r="H21" s="112">
        <f>H20/H$11</f>
        <v>3.3519553072625698E-2</v>
      </c>
      <c r="I21" s="112">
        <f t="shared" si="25"/>
        <v>3.1377899045020467E-2</v>
      </c>
      <c r="J21" s="112">
        <f t="shared" si="26"/>
        <v>2.8476141611082608E-2</v>
      </c>
      <c r="K21" s="112">
        <f t="shared" si="27"/>
        <v>2.9682164433937484E-2</v>
      </c>
      <c r="L21" s="186">
        <f>L20/L11</f>
        <v>3.0702341137123747E-2</v>
      </c>
      <c r="M21" s="112">
        <f>M20/M$11</f>
        <v>3.0084854718436617E-2</v>
      </c>
      <c r="N21" s="112">
        <f t="shared" si="28"/>
        <v>2.9662047167517629E-2</v>
      </c>
      <c r="O21" s="112">
        <f t="shared" si="29"/>
        <v>3.0669353033355721E-2</v>
      </c>
      <c r="P21" s="112">
        <f t="shared" si="30"/>
        <v>3.3076574535568642E-2</v>
      </c>
      <c r="Q21" s="186">
        <f>Q20/Q11</f>
        <v>3.0918675590831012E-2</v>
      </c>
      <c r="R21" s="112">
        <f>R20/R$11</f>
        <v>3.5919181840858072E-2</v>
      </c>
      <c r="S21" s="112">
        <f t="shared" si="31"/>
        <v>4.3478260869565216E-2</v>
      </c>
      <c r="T21" s="112">
        <f t="shared" si="32"/>
        <v>3.6747458952306487E-2</v>
      </c>
      <c r="U21" s="112">
        <f t="shared" si="33"/>
        <v>3.640776699029126E-2</v>
      </c>
      <c r="V21" s="186">
        <f>V20/V11</f>
        <v>3.7906019214430431E-2</v>
      </c>
      <c r="W21" s="112">
        <f>W20/W$11</f>
        <v>3.9229843561973524E-2</v>
      </c>
      <c r="X21" s="112">
        <f t="shared" si="34"/>
        <v>4.1077738515901061E-2</v>
      </c>
      <c r="Y21" s="112">
        <f t="shared" si="35"/>
        <v>3.7713139418254764E-2</v>
      </c>
      <c r="Z21" s="112">
        <f t="shared" si="36"/>
        <v>3.6234662576687116E-2</v>
      </c>
      <c r="AA21" s="186">
        <f>AA20/AA11</f>
        <v>3.8445244651556874E-2</v>
      </c>
      <c r="AB21" s="112">
        <f>AB20/AB$11</f>
        <v>0.16293556550515864</v>
      </c>
      <c r="AC21" s="112">
        <f t="shared" si="37"/>
        <v>3.4419959934438173E-2</v>
      </c>
      <c r="AD21" s="112">
        <f t="shared" si="37"/>
        <v>3.2140375260597639E-2</v>
      </c>
      <c r="AE21" s="112">
        <f t="shared" si="37"/>
        <v>3.1631425133230189E-2</v>
      </c>
      <c r="AF21" s="186">
        <f>AF20/AF11</f>
        <v>6.2922868741542626E-2</v>
      </c>
      <c r="AG21" s="116">
        <v>3.2000000000000001E-2</v>
      </c>
      <c r="AH21" s="116">
        <v>3.2000000000000001E-2</v>
      </c>
      <c r="AI21" s="116">
        <v>3.2000000000000001E-2</v>
      </c>
      <c r="AJ21" s="116">
        <v>3.2000000000000001E-2</v>
      </c>
      <c r="AK21" s="179">
        <f>AK20/AK11</f>
        <v>5.872062228393328E-2</v>
      </c>
    </row>
    <row r="22" spans="1:37" x14ac:dyDescent="0.25">
      <c r="A22" s="154" t="s">
        <v>139</v>
      </c>
      <c r="C22" s="120">
        <v>0</v>
      </c>
      <c r="D22" s="120">
        <v>0</v>
      </c>
      <c r="E22" s="120">
        <v>0</v>
      </c>
      <c r="F22" s="120">
        <v>0</v>
      </c>
      <c r="G22" s="190">
        <f>SUM(C22:F22)</f>
        <v>0</v>
      </c>
      <c r="H22" s="120">
        <v>0</v>
      </c>
      <c r="I22" s="120">
        <v>0</v>
      </c>
      <c r="J22" s="120">
        <v>0</v>
      </c>
      <c r="K22" s="120">
        <v>0</v>
      </c>
      <c r="L22" s="190">
        <f>SUM(H22:K22)</f>
        <v>0</v>
      </c>
      <c r="M22" s="120">
        <v>0</v>
      </c>
      <c r="N22" s="120">
        <v>0</v>
      </c>
      <c r="O22" s="120">
        <v>0</v>
      </c>
      <c r="P22" s="120">
        <v>0</v>
      </c>
      <c r="Q22" s="190">
        <f>SUM(M22:P22)</f>
        <v>0</v>
      </c>
      <c r="R22" s="120">
        <v>0</v>
      </c>
      <c r="S22" s="120">
        <v>0</v>
      </c>
      <c r="T22" s="120">
        <v>0</v>
      </c>
      <c r="U22" s="120">
        <v>0</v>
      </c>
      <c r="V22" s="190">
        <f>SUM(R22:U22)</f>
        <v>0</v>
      </c>
      <c r="W22" s="120">
        <v>0</v>
      </c>
      <c r="X22" s="118">
        <v>67</v>
      </c>
      <c r="Y22" s="120">
        <v>27</v>
      </c>
      <c r="Z22" s="120">
        <v>0</v>
      </c>
      <c r="AA22" s="190">
        <f>SUM(W22:Z22)</f>
        <v>94</v>
      </c>
      <c r="AB22" s="120">
        <v>0</v>
      </c>
      <c r="AC22" s="120">
        <v>133</v>
      </c>
      <c r="AD22" s="120">
        <v>208</v>
      </c>
      <c r="AE22" s="120">
        <v>15</v>
      </c>
      <c r="AF22" s="190">
        <f>SUM(AB22:AE22)</f>
        <v>356</v>
      </c>
      <c r="AG22" s="55">
        <v>0</v>
      </c>
      <c r="AH22" s="55">
        <v>0</v>
      </c>
      <c r="AI22" s="55">
        <v>0</v>
      </c>
      <c r="AJ22" s="55">
        <v>0</v>
      </c>
      <c r="AK22" s="195">
        <f>SUM(AG22:AJ22)</f>
        <v>0</v>
      </c>
    </row>
    <row r="23" spans="1:37" x14ac:dyDescent="0.25">
      <c r="A23" s="121" t="s">
        <v>140</v>
      </c>
      <c r="C23" s="122">
        <f>C15+C20+C18</f>
        <v>1213</v>
      </c>
      <c r="D23" s="122">
        <f t="shared" ref="D23:F23" si="45">D15+D20+D18</f>
        <v>1400</v>
      </c>
      <c r="E23" s="122">
        <f t="shared" si="45"/>
        <v>1457</v>
      </c>
      <c r="F23" s="122">
        <f t="shared" si="45"/>
        <v>1624</v>
      </c>
      <c r="G23" s="191">
        <f>SUM(G15,G18,G20)</f>
        <v>5694</v>
      </c>
      <c r="H23" s="122">
        <f>H15+H20+H18</f>
        <v>1638</v>
      </c>
      <c r="I23" s="122">
        <f t="shared" ref="I23:K23" si="46">I15+I20+I18</f>
        <v>1504</v>
      </c>
      <c r="J23" s="122">
        <f t="shared" si="46"/>
        <v>1582</v>
      </c>
      <c r="K23" s="122">
        <f t="shared" si="46"/>
        <v>1816</v>
      </c>
      <c r="L23" s="191">
        <f>SUM(L15,L18,L20)</f>
        <v>6540</v>
      </c>
      <c r="M23" s="122">
        <f>M15+M20+M18</f>
        <v>1676</v>
      </c>
      <c r="N23" s="122">
        <f t="shared" ref="N23:P23" si="47">N15+N20+N18</f>
        <v>1716</v>
      </c>
      <c r="O23" s="122">
        <f t="shared" si="47"/>
        <v>1812</v>
      </c>
      <c r="P23" s="122">
        <f t="shared" si="47"/>
        <v>2015</v>
      </c>
      <c r="Q23" s="191">
        <f>SUM(Q15,Q18,Q20)</f>
        <v>7219</v>
      </c>
      <c r="R23" s="122">
        <f>R15+R20+R18</f>
        <v>1792</v>
      </c>
      <c r="S23" s="122">
        <f t="shared" ref="S23:U23" si="48">S15+S20+S18</f>
        <v>1584</v>
      </c>
      <c r="T23" s="122">
        <f t="shared" si="48"/>
        <v>1732</v>
      </c>
      <c r="U23" s="122">
        <f t="shared" si="48"/>
        <v>2017</v>
      </c>
      <c r="V23" s="191">
        <f>SUM(V15,V18,V20)</f>
        <v>7125</v>
      </c>
      <c r="W23" s="122">
        <f>W15+W20+W18</f>
        <v>1958</v>
      </c>
      <c r="X23" s="122">
        <f t="shared" ref="X23:Z23" si="49">X15+X20+X18</f>
        <v>2120</v>
      </c>
      <c r="Y23" s="122">
        <f t="shared" si="49"/>
        <v>2158</v>
      </c>
      <c r="Z23" s="122">
        <f t="shared" si="49"/>
        <v>2389</v>
      </c>
      <c r="AA23" s="191">
        <f>SUM(AA15,AA18,AA20)</f>
        <v>8625</v>
      </c>
      <c r="AB23" s="122">
        <f>AB15+AB20+AB18</f>
        <v>2827</v>
      </c>
      <c r="AC23" s="122">
        <f t="shared" ref="AC23:AJ23" si="50">AC15+AC20+AC18</f>
        <v>2313</v>
      </c>
      <c r="AD23" s="122">
        <f t="shared" si="50"/>
        <v>2436</v>
      </c>
      <c r="AE23" s="122">
        <f t="shared" si="50"/>
        <v>2618</v>
      </c>
      <c r="AF23" s="191">
        <f>SUM(AF15,AF18,AF20)</f>
        <v>10194</v>
      </c>
      <c r="AG23" s="155">
        <f t="shared" si="50"/>
        <v>3108.3927536064048</v>
      </c>
      <c r="AH23" s="155">
        <f t="shared" si="50"/>
        <v>2622.8184235836666</v>
      </c>
      <c r="AI23" s="155">
        <f t="shared" si="50"/>
        <v>2755.010368969683</v>
      </c>
      <c r="AJ23" s="155">
        <f t="shared" si="50"/>
        <v>2799.7156948675074</v>
      </c>
      <c r="AK23" s="196">
        <f>SUM(AK15,AK18,AK20)</f>
        <v>11285.937241027263</v>
      </c>
    </row>
    <row r="24" spans="1:37" x14ac:dyDescent="0.25">
      <c r="A24" s="197" t="s">
        <v>157</v>
      </c>
      <c r="C24" s="123"/>
      <c r="D24" s="123"/>
      <c r="E24" s="123"/>
      <c r="F24" s="123"/>
      <c r="G24" s="198" t="s">
        <v>2</v>
      </c>
      <c r="H24" s="123"/>
      <c r="I24" s="123"/>
      <c r="J24" s="123"/>
      <c r="K24" s="123"/>
      <c r="L24" s="166">
        <f>L23/G23-1</f>
        <v>0.14857744994731292</v>
      </c>
      <c r="M24" s="123"/>
      <c r="N24" s="123"/>
      <c r="O24" s="123"/>
      <c r="P24" s="123"/>
      <c r="Q24" s="166">
        <f>Q23/L23-1</f>
        <v>0.10382262996941893</v>
      </c>
      <c r="R24" s="123"/>
      <c r="S24" s="123"/>
      <c r="T24" s="123"/>
      <c r="U24" s="123"/>
      <c r="V24" s="166">
        <f>V23/Q23-1</f>
        <v>-1.3021194071200948E-2</v>
      </c>
      <c r="W24" s="123"/>
      <c r="X24" s="123"/>
      <c r="Y24" s="123"/>
      <c r="Z24" s="123"/>
      <c r="AA24" s="166">
        <f>AA23/V23-1</f>
        <v>0.21052631578947367</v>
      </c>
      <c r="AB24" s="123"/>
      <c r="AC24" s="123"/>
      <c r="AD24" s="123"/>
      <c r="AE24" s="153"/>
      <c r="AF24" s="166">
        <f>AF23/AA23-1</f>
        <v>0.18191304347826076</v>
      </c>
      <c r="AG24" s="153"/>
      <c r="AH24" s="153"/>
      <c r="AI24" s="153"/>
      <c r="AJ24" s="153"/>
      <c r="AK24" s="166">
        <f>AK23/AF23-1</f>
        <v>0.10711567991242532</v>
      </c>
    </row>
    <row r="25" spans="1:37" x14ac:dyDescent="0.25">
      <c r="C25" s="109"/>
      <c r="D25" s="109"/>
      <c r="E25" s="109"/>
      <c r="F25" s="109"/>
      <c r="G25" s="168"/>
      <c r="H25" s="109"/>
      <c r="I25" s="109"/>
      <c r="J25" s="109"/>
      <c r="K25" s="109"/>
      <c r="L25" s="168"/>
      <c r="M25" s="109"/>
      <c r="N25" s="109"/>
      <c r="O25" s="123"/>
      <c r="P25" s="109"/>
      <c r="Q25" s="168"/>
      <c r="R25" s="109"/>
      <c r="S25" s="109"/>
      <c r="T25" s="123"/>
      <c r="U25" s="109"/>
      <c r="V25" s="168"/>
      <c r="W25" s="109"/>
      <c r="X25" s="109"/>
      <c r="Y25" s="109"/>
      <c r="AE25" s="55"/>
      <c r="AF25" s="177"/>
      <c r="AG25" s="55"/>
      <c r="AH25" s="55"/>
      <c r="AI25" s="55"/>
      <c r="AJ25" s="55"/>
    </row>
    <row r="26" spans="1:37" x14ac:dyDescent="0.25">
      <c r="A26" s="124" t="s">
        <v>147</v>
      </c>
      <c r="C26" s="123">
        <f>C11-C23</f>
        <v>1521</v>
      </c>
      <c r="D26" s="123">
        <f t="shared" ref="D26:AK26" si="51">D11-D23</f>
        <v>1653</v>
      </c>
      <c r="E26" s="123">
        <f t="shared" si="51"/>
        <v>1941</v>
      </c>
      <c r="F26" s="123">
        <f t="shared" si="51"/>
        <v>1688</v>
      </c>
      <c r="G26" s="169">
        <f t="shared" si="51"/>
        <v>6803</v>
      </c>
      <c r="H26" s="123">
        <f t="shared" si="51"/>
        <v>1942</v>
      </c>
      <c r="I26" s="123">
        <f t="shared" si="51"/>
        <v>2161</v>
      </c>
      <c r="J26" s="123">
        <f t="shared" si="51"/>
        <v>2316</v>
      </c>
      <c r="K26" s="123">
        <f t="shared" si="51"/>
        <v>1991</v>
      </c>
      <c r="L26" s="169">
        <f t="shared" si="51"/>
        <v>8410</v>
      </c>
      <c r="M26" s="123">
        <f t="shared" si="51"/>
        <v>2213</v>
      </c>
      <c r="N26" s="123">
        <f t="shared" si="51"/>
        <v>2397</v>
      </c>
      <c r="O26" s="123">
        <f t="shared" si="51"/>
        <v>2655</v>
      </c>
      <c r="P26" s="123">
        <f t="shared" si="51"/>
        <v>2399</v>
      </c>
      <c r="Q26" s="169">
        <f t="shared" si="51"/>
        <v>9664</v>
      </c>
      <c r="R26" s="123">
        <f t="shared" si="51"/>
        <v>2217</v>
      </c>
      <c r="S26" s="123">
        <f t="shared" si="51"/>
        <v>1751</v>
      </c>
      <c r="T26" s="123">
        <f t="shared" si="51"/>
        <v>2105</v>
      </c>
      <c r="U26" s="123">
        <f t="shared" si="51"/>
        <v>2103</v>
      </c>
      <c r="V26" s="169">
        <f t="shared" si="51"/>
        <v>8176</v>
      </c>
      <c r="W26" s="123">
        <f t="shared" si="51"/>
        <v>2197</v>
      </c>
      <c r="X26" s="123">
        <f t="shared" si="51"/>
        <v>2408</v>
      </c>
      <c r="Y26" s="123">
        <f t="shared" si="51"/>
        <v>2827</v>
      </c>
      <c r="Z26" s="123">
        <f t="shared" si="51"/>
        <v>2827</v>
      </c>
      <c r="AA26" s="169">
        <f t="shared" si="51"/>
        <v>10259</v>
      </c>
      <c r="AB26" s="123">
        <f t="shared" si="51"/>
        <v>2310</v>
      </c>
      <c r="AC26" s="123">
        <f t="shared" si="51"/>
        <v>3178</v>
      </c>
      <c r="AD26" s="123">
        <f t="shared" si="51"/>
        <v>3320</v>
      </c>
      <c r="AE26" s="123">
        <f t="shared" si="51"/>
        <v>3199</v>
      </c>
      <c r="AF26" s="169">
        <f t="shared" si="51"/>
        <v>11976</v>
      </c>
      <c r="AG26" s="146">
        <f t="shared" si="51"/>
        <v>2339.6867454382673</v>
      </c>
      <c r="AH26" s="146">
        <f t="shared" si="51"/>
        <v>3492.4723159217915</v>
      </c>
      <c r="AI26" s="146">
        <f t="shared" si="51"/>
        <v>3786.0364906468553</v>
      </c>
      <c r="AJ26" s="146">
        <f t="shared" si="51"/>
        <v>3612.6373637750166</v>
      </c>
      <c r="AK26" s="199">
        <f t="shared" si="51"/>
        <v>13230.832915781924</v>
      </c>
    </row>
    <row r="27" spans="1:37" x14ac:dyDescent="0.25">
      <c r="A27" s="125" t="s">
        <v>77</v>
      </c>
      <c r="C27" s="126">
        <f t="shared" ref="C27:AK27" si="52">C26/C11</f>
        <v>0.55632772494513538</v>
      </c>
      <c r="D27" s="126">
        <f t="shared" si="52"/>
        <v>0.54143465443825745</v>
      </c>
      <c r="E27" s="126">
        <f t="shared" si="52"/>
        <v>0.57121836374337842</v>
      </c>
      <c r="F27" s="126">
        <f t="shared" si="52"/>
        <v>0.50966183574879231</v>
      </c>
      <c r="G27" s="200">
        <f t="shared" si="52"/>
        <v>0.54437064895574938</v>
      </c>
      <c r="H27" s="126">
        <f t="shared" si="52"/>
        <v>0.54245810055865917</v>
      </c>
      <c r="I27" s="126">
        <f t="shared" si="52"/>
        <v>0.58963165075034107</v>
      </c>
      <c r="J27" s="126">
        <f t="shared" si="52"/>
        <v>0.59415084658799389</v>
      </c>
      <c r="K27" s="126">
        <f t="shared" si="52"/>
        <v>0.52298397688468612</v>
      </c>
      <c r="L27" s="200">
        <f t="shared" si="52"/>
        <v>0.56254180602006687</v>
      </c>
      <c r="M27" s="126">
        <f t="shared" si="52"/>
        <v>0.56904088454615587</v>
      </c>
      <c r="N27" s="126">
        <f t="shared" si="52"/>
        <v>0.58278628738147342</v>
      </c>
      <c r="O27" s="126">
        <f t="shared" si="52"/>
        <v>0.5943586299529886</v>
      </c>
      <c r="P27" s="126">
        <f>P26/P11</f>
        <v>0.54349796103307657</v>
      </c>
      <c r="Q27" s="200">
        <f t="shared" si="52"/>
        <v>0.57241011668542319</v>
      </c>
      <c r="R27" s="126">
        <f t="shared" si="52"/>
        <v>0.55300573709154399</v>
      </c>
      <c r="S27" s="126">
        <f t="shared" si="52"/>
        <v>0.52503748125937033</v>
      </c>
      <c r="T27" s="126">
        <f t="shared" si="52"/>
        <v>0.54860568152202238</v>
      </c>
      <c r="U27" s="126">
        <f t="shared" si="52"/>
        <v>0.51043689320388352</v>
      </c>
      <c r="V27" s="200">
        <f t="shared" si="52"/>
        <v>0.53434416051238476</v>
      </c>
      <c r="W27" s="126">
        <f t="shared" si="52"/>
        <v>0.52876052948255114</v>
      </c>
      <c r="X27" s="126">
        <f t="shared" si="52"/>
        <v>0.53180212014134276</v>
      </c>
      <c r="Y27" s="126">
        <f t="shared" si="52"/>
        <v>0.56710130391173519</v>
      </c>
      <c r="Z27" s="126">
        <f t="shared" si="52"/>
        <v>0.54198619631901845</v>
      </c>
      <c r="AA27" s="200">
        <f t="shared" si="52"/>
        <v>0.54326413895361148</v>
      </c>
      <c r="AB27" s="126">
        <f t="shared" si="52"/>
        <v>0.44967880085653106</v>
      </c>
      <c r="AC27" s="126">
        <f t="shared" si="52"/>
        <v>0.57876525223092334</v>
      </c>
      <c r="AD27" s="126">
        <f t="shared" si="52"/>
        <v>0.57678943710910358</v>
      </c>
      <c r="AE27" s="375">
        <f t="shared" si="52"/>
        <v>0.54993983152827919</v>
      </c>
      <c r="AF27" s="200">
        <f t="shared" si="52"/>
        <v>0.54018944519621115</v>
      </c>
      <c r="AG27" s="156">
        <f t="shared" si="52"/>
        <v>0.42945165279774911</v>
      </c>
      <c r="AH27" s="156">
        <f t="shared" si="52"/>
        <v>0.57110486887565826</v>
      </c>
      <c r="AI27" s="156">
        <f t="shared" si="52"/>
        <v>0.57881201157895501</v>
      </c>
      <c r="AJ27" s="156">
        <f t="shared" si="52"/>
        <v>0.56338715768401582</v>
      </c>
      <c r="AK27" s="178">
        <f t="shared" si="52"/>
        <v>0.539664598197787</v>
      </c>
    </row>
    <row r="28" spans="1:37" x14ac:dyDescent="0.25">
      <c r="A28" s="125" t="s">
        <v>142</v>
      </c>
      <c r="C28" s="157" t="s">
        <v>2</v>
      </c>
      <c r="D28" s="157" t="s">
        <v>2</v>
      </c>
      <c r="E28" s="157" t="s">
        <v>2</v>
      </c>
      <c r="F28" s="157" t="s">
        <v>2</v>
      </c>
      <c r="G28" s="163" t="s">
        <v>2</v>
      </c>
      <c r="H28" s="126">
        <f t="shared" ref="H28:AK28" si="53">(H26-C26)/(H11-C11)</f>
        <v>0.49763593380614657</v>
      </c>
      <c r="I28" s="126">
        <f t="shared" si="53"/>
        <v>0.83006535947712423</v>
      </c>
      <c r="J28" s="126">
        <f t="shared" si="53"/>
        <v>0.75</v>
      </c>
      <c r="K28" s="126">
        <f t="shared" si="53"/>
        <v>0.61212121212121207</v>
      </c>
      <c r="L28" s="172">
        <f t="shared" si="53"/>
        <v>0.65511618426416629</v>
      </c>
      <c r="M28" s="126">
        <f t="shared" si="53"/>
        <v>0.87702265372168287</v>
      </c>
      <c r="N28" s="126">
        <f t="shared" si="53"/>
        <v>0.5267857142857143</v>
      </c>
      <c r="O28" s="126">
        <f t="shared" si="53"/>
        <v>0.59578207381370829</v>
      </c>
      <c r="P28" s="126">
        <f t="shared" si="53"/>
        <v>0.67215815485996711</v>
      </c>
      <c r="Q28" s="172">
        <f t="shared" si="53"/>
        <v>0.64873254009311954</v>
      </c>
      <c r="R28" s="126">
        <f t="shared" si="53"/>
        <v>3.3333333333333333E-2</v>
      </c>
      <c r="S28" s="126">
        <f t="shared" si="53"/>
        <v>0.83033419023136246</v>
      </c>
      <c r="T28" s="126">
        <f t="shared" si="53"/>
        <v>0.87301587301587302</v>
      </c>
      <c r="U28" s="126">
        <f t="shared" si="53"/>
        <v>1.0068027210884354</v>
      </c>
      <c r="V28" s="172">
        <f t="shared" si="53"/>
        <v>0.94058154235145386</v>
      </c>
      <c r="W28" s="126">
        <f t="shared" si="53"/>
        <v>-0.13698630136986301</v>
      </c>
      <c r="X28" s="126">
        <f t="shared" si="53"/>
        <v>0.55071248952221286</v>
      </c>
      <c r="Y28" s="126">
        <f t="shared" si="53"/>
        <v>0.62891986062717775</v>
      </c>
      <c r="Z28" s="126">
        <f t="shared" si="53"/>
        <v>0.66058394160583944</v>
      </c>
      <c r="AA28" s="172">
        <f t="shared" si="53"/>
        <v>0.58135640524699972</v>
      </c>
      <c r="AB28" s="126">
        <f t="shared" si="53"/>
        <v>0.11507128309572301</v>
      </c>
      <c r="AC28" s="126">
        <f t="shared" si="53"/>
        <v>0.79958463136033231</v>
      </c>
      <c r="AD28" s="126">
        <f t="shared" si="53"/>
        <v>0.6394293125810635</v>
      </c>
      <c r="AE28" s="126">
        <f t="shared" si="53"/>
        <v>0.61896838602329451</v>
      </c>
      <c r="AF28" s="172">
        <f t="shared" si="53"/>
        <v>0.52251978088861839</v>
      </c>
      <c r="AG28" s="158">
        <f t="shared" si="53"/>
        <v>9.5431378568615235E-2</v>
      </c>
      <c r="AH28" s="158">
        <f t="shared" si="53"/>
        <v>0.5037273437227433</v>
      </c>
      <c r="AI28" s="158">
        <f t="shared" si="53"/>
        <v>0.59364162143708743</v>
      </c>
      <c r="AJ28" s="158">
        <f t="shared" si="53"/>
        <v>0.6947765830214413</v>
      </c>
      <c r="AK28" s="201">
        <f t="shared" si="53"/>
        <v>0.53470635466409389</v>
      </c>
    </row>
    <row r="29" spans="1:37" x14ac:dyDescent="0.25">
      <c r="C29" s="109"/>
      <c r="D29" s="109"/>
      <c r="E29" s="109"/>
      <c r="F29" s="109"/>
      <c r="G29" s="167"/>
      <c r="H29" s="109"/>
      <c r="I29" s="127"/>
      <c r="J29" s="127"/>
      <c r="K29" s="127"/>
      <c r="L29" s="168"/>
      <c r="M29" s="127"/>
      <c r="N29" s="127"/>
      <c r="O29" s="127"/>
      <c r="P29" s="127"/>
      <c r="Q29" s="168"/>
      <c r="R29" s="127"/>
      <c r="S29" s="127"/>
      <c r="T29" s="127"/>
      <c r="U29" s="127"/>
      <c r="V29" s="168"/>
      <c r="W29" s="127"/>
      <c r="X29" s="127"/>
      <c r="Y29" s="109"/>
      <c r="AE29" s="109"/>
      <c r="AF29" s="168"/>
      <c r="AG29" s="55"/>
      <c r="AH29" s="55"/>
      <c r="AI29" s="55"/>
      <c r="AJ29" s="55"/>
    </row>
    <row r="30" spans="1:37" x14ac:dyDescent="0.25">
      <c r="A30" s="124" t="s">
        <v>148</v>
      </c>
      <c r="C30" s="123">
        <f t="shared" ref="C30:AG30" si="54">C26+C20</f>
        <v>1613</v>
      </c>
      <c r="D30" s="123">
        <f t="shared" si="54"/>
        <v>1764</v>
      </c>
      <c r="E30" s="123">
        <f t="shared" si="54"/>
        <v>2059</v>
      </c>
      <c r="F30" s="123">
        <f t="shared" si="54"/>
        <v>1804</v>
      </c>
      <c r="G30" s="169">
        <f t="shared" si="54"/>
        <v>7240</v>
      </c>
      <c r="H30" s="123">
        <f t="shared" si="54"/>
        <v>2062</v>
      </c>
      <c r="I30" s="123">
        <f t="shared" si="54"/>
        <v>2276</v>
      </c>
      <c r="J30" s="123">
        <f t="shared" si="54"/>
        <v>2427</v>
      </c>
      <c r="K30" s="123">
        <f t="shared" si="54"/>
        <v>2104</v>
      </c>
      <c r="L30" s="169">
        <f t="shared" si="54"/>
        <v>8869</v>
      </c>
      <c r="M30" s="123">
        <f t="shared" si="54"/>
        <v>2330</v>
      </c>
      <c r="N30" s="123">
        <f t="shared" si="54"/>
        <v>2519</v>
      </c>
      <c r="O30" s="123">
        <f t="shared" si="54"/>
        <v>2792</v>
      </c>
      <c r="P30" s="123">
        <f t="shared" si="54"/>
        <v>2545</v>
      </c>
      <c r="Q30" s="169">
        <f t="shared" si="54"/>
        <v>10186</v>
      </c>
      <c r="R30" s="123">
        <f t="shared" si="54"/>
        <v>2361</v>
      </c>
      <c r="S30" s="123">
        <f t="shared" si="54"/>
        <v>1896</v>
      </c>
      <c r="T30" s="123">
        <f t="shared" si="54"/>
        <v>2246</v>
      </c>
      <c r="U30" s="123">
        <f t="shared" si="54"/>
        <v>2253</v>
      </c>
      <c r="V30" s="169">
        <f t="shared" si="54"/>
        <v>8756</v>
      </c>
      <c r="W30" s="123">
        <f t="shared" si="54"/>
        <v>2360</v>
      </c>
      <c r="X30" s="123">
        <f t="shared" si="54"/>
        <v>2594</v>
      </c>
      <c r="Y30" s="123">
        <f t="shared" si="54"/>
        <v>3015</v>
      </c>
      <c r="Z30" s="123">
        <f t="shared" si="54"/>
        <v>3016</v>
      </c>
      <c r="AA30" s="169">
        <f t="shared" si="54"/>
        <v>10985</v>
      </c>
      <c r="AB30" s="123">
        <f t="shared" si="54"/>
        <v>3147</v>
      </c>
      <c r="AC30" s="123">
        <f t="shared" si="54"/>
        <v>3367</v>
      </c>
      <c r="AD30" s="123">
        <f t="shared" si="54"/>
        <v>3505</v>
      </c>
      <c r="AE30" s="123">
        <f t="shared" si="54"/>
        <v>3383</v>
      </c>
      <c r="AF30" s="169">
        <f t="shared" si="54"/>
        <v>13371</v>
      </c>
      <c r="AG30" s="146">
        <f t="shared" si="54"/>
        <v>3203.4707454382674</v>
      </c>
      <c r="AH30" s="146">
        <f t="shared" ref="AH30:AJ30" si="55">AH26+AH20</f>
        <v>3687.5203159217917</v>
      </c>
      <c r="AI30" s="146">
        <f t="shared" si="55"/>
        <v>3976.9564906468554</v>
      </c>
      <c r="AJ30" s="146">
        <f t="shared" si="55"/>
        <v>3802.5253637750166</v>
      </c>
      <c r="AK30" s="199">
        <f>AK26+AK20</f>
        <v>14670.472915781924</v>
      </c>
    </row>
    <row r="31" spans="1:37" x14ac:dyDescent="0.25">
      <c r="A31" s="248" t="s">
        <v>84</v>
      </c>
      <c r="C31" s="249">
        <f t="shared" ref="C31:AK31" si="56">C30/C11</f>
        <v>0.58997805413313831</v>
      </c>
      <c r="D31" s="249">
        <f t="shared" si="56"/>
        <v>0.57779233540779562</v>
      </c>
      <c r="E31" s="249">
        <f t="shared" si="56"/>
        <v>0.60594467333725721</v>
      </c>
      <c r="F31" s="249">
        <f t="shared" si="56"/>
        <v>0.54468599033816423</v>
      </c>
      <c r="G31" s="250">
        <f t="shared" si="56"/>
        <v>0.57933904136992875</v>
      </c>
      <c r="H31" s="249">
        <f t="shared" si="56"/>
        <v>0.57597765363128495</v>
      </c>
      <c r="I31" s="249">
        <f t="shared" si="56"/>
        <v>0.62100954979536149</v>
      </c>
      <c r="J31" s="249">
        <f t="shared" si="56"/>
        <v>0.62262698819907647</v>
      </c>
      <c r="K31" s="249">
        <f t="shared" si="56"/>
        <v>0.55266614131862357</v>
      </c>
      <c r="L31" s="250">
        <f t="shared" si="56"/>
        <v>0.59324414715719065</v>
      </c>
      <c r="M31" s="249">
        <f t="shared" si="56"/>
        <v>0.59912573926459245</v>
      </c>
      <c r="N31" s="249">
        <f t="shared" si="56"/>
        <v>0.61244833454899106</v>
      </c>
      <c r="O31" s="249">
        <f t="shared" si="56"/>
        <v>0.62502798298634432</v>
      </c>
      <c r="P31" s="249">
        <f t="shared" si="56"/>
        <v>0.57657453556864524</v>
      </c>
      <c r="Q31" s="250">
        <f t="shared" si="56"/>
        <v>0.60332879227625424</v>
      </c>
      <c r="R31" s="249">
        <f t="shared" si="56"/>
        <v>0.58892491893240206</v>
      </c>
      <c r="S31" s="249">
        <f t="shared" si="56"/>
        <v>0.56851574212893552</v>
      </c>
      <c r="T31" s="249">
        <f t="shared" si="56"/>
        <v>0.58535314047432885</v>
      </c>
      <c r="U31" s="249">
        <f t="shared" si="56"/>
        <v>0.54684466019417477</v>
      </c>
      <c r="V31" s="250">
        <f t="shared" si="56"/>
        <v>0.57225017972681524</v>
      </c>
      <c r="W31" s="249">
        <f t="shared" si="56"/>
        <v>0.56799037304452471</v>
      </c>
      <c r="X31" s="249">
        <f t="shared" si="56"/>
        <v>0.57287985865724378</v>
      </c>
      <c r="Y31" s="249">
        <f t="shared" si="56"/>
        <v>0.60481444332999001</v>
      </c>
      <c r="Z31" s="249">
        <f t="shared" si="56"/>
        <v>0.57822085889570551</v>
      </c>
      <c r="AA31" s="250">
        <f t="shared" si="56"/>
        <v>0.58170938360516844</v>
      </c>
      <c r="AB31" s="249">
        <f t="shared" si="56"/>
        <v>0.61261436636168976</v>
      </c>
      <c r="AC31" s="249">
        <f t="shared" si="56"/>
        <v>0.61318521216536148</v>
      </c>
      <c r="AD31" s="249">
        <f t="shared" si="56"/>
        <v>0.60892981236970123</v>
      </c>
      <c r="AE31" s="249">
        <f t="shared" si="56"/>
        <v>0.58157125666150933</v>
      </c>
      <c r="AF31" s="250">
        <f t="shared" si="56"/>
        <v>0.60311231393775377</v>
      </c>
      <c r="AG31" s="251">
        <f t="shared" si="56"/>
        <v>0.58800000000000008</v>
      </c>
      <c r="AH31" s="251">
        <f t="shared" si="56"/>
        <v>0.60300000000000009</v>
      </c>
      <c r="AI31" s="251">
        <f t="shared" si="56"/>
        <v>0.60799999999999998</v>
      </c>
      <c r="AJ31" s="251">
        <f t="shared" si="56"/>
        <v>0.59299999999999997</v>
      </c>
      <c r="AK31" s="252">
        <f t="shared" si="56"/>
        <v>0.59838522048172027</v>
      </c>
    </row>
    <row r="32" spans="1:37" x14ac:dyDescent="0.25">
      <c r="C32" s="109"/>
      <c r="D32" s="109"/>
      <c r="E32" s="109"/>
      <c r="F32" s="109"/>
      <c r="G32" s="168"/>
      <c r="H32" s="130"/>
      <c r="I32" s="109"/>
      <c r="J32" s="109"/>
      <c r="K32" s="109"/>
      <c r="L32" s="168"/>
      <c r="M32" s="109"/>
      <c r="N32" s="109"/>
      <c r="O32" s="109"/>
      <c r="P32" s="109"/>
      <c r="Q32" s="168"/>
      <c r="R32" s="109"/>
      <c r="S32" s="109"/>
      <c r="T32" s="109"/>
      <c r="U32" s="109"/>
      <c r="V32" s="168"/>
      <c r="W32" s="109"/>
      <c r="X32" s="109"/>
      <c r="Y32" s="109"/>
      <c r="AE32" s="55"/>
      <c r="AF32" s="168"/>
      <c r="AG32" s="55"/>
      <c r="AH32" s="55"/>
      <c r="AI32" s="55"/>
      <c r="AJ32" s="55"/>
    </row>
    <row r="33" spans="1:40" x14ac:dyDescent="0.25">
      <c r="A33" s="131" t="s">
        <v>67</v>
      </c>
      <c r="C33" s="110">
        <v>15</v>
      </c>
      <c r="D33" s="108">
        <v>14</v>
      </c>
      <c r="E33" s="108">
        <v>15</v>
      </c>
      <c r="F33" s="108">
        <v>12</v>
      </c>
      <c r="G33" s="202">
        <f>SUM(C33:F33)</f>
        <v>56</v>
      </c>
      <c r="H33" s="110">
        <v>17</v>
      </c>
      <c r="I33" s="110">
        <v>31</v>
      </c>
      <c r="J33" s="108">
        <v>31</v>
      </c>
      <c r="K33" s="108">
        <v>43</v>
      </c>
      <c r="L33" s="202">
        <f>SUM(H33:K33)</f>
        <v>122</v>
      </c>
      <c r="M33" s="110">
        <f>27</f>
        <v>27</v>
      </c>
      <c r="N33" s="108">
        <v>24</v>
      </c>
      <c r="O33" s="108">
        <v>26</v>
      </c>
      <c r="P33" s="108">
        <v>20</v>
      </c>
      <c r="Q33" s="202">
        <f>SUM(M33:P33)</f>
        <v>97</v>
      </c>
      <c r="R33" s="110">
        <v>16</v>
      </c>
      <c r="S33" s="108">
        <f>8</f>
        <v>8</v>
      </c>
      <c r="T33" s="108">
        <v>3</v>
      </c>
      <c r="U33" s="108">
        <v>-3</v>
      </c>
      <c r="V33" s="202">
        <f>SUM(R33:U33)</f>
        <v>24</v>
      </c>
      <c r="W33" s="110">
        <v>1</v>
      </c>
      <c r="X33" s="110">
        <v>3</v>
      </c>
      <c r="Y33" s="110">
        <v>5</v>
      </c>
      <c r="Z33" s="110">
        <f>11-SUM(W33:Y33)</f>
        <v>2</v>
      </c>
      <c r="AA33" s="202">
        <f>SUM(W33:Z33)</f>
        <v>11</v>
      </c>
      <c r="AB33" s="110">
        <v>5</v>
      </c>
      <c r="AC33" s="110">
        <v>7</v>
      </c>
      <c r="AD33" s="110">
        <v>16</v>
      </c>
      <c r="AE33" s="110">
        <v>33</v>
      </c>
      <c r="AF33" s="202">
        <f>SUM(AB33:AE33)</f>
        <v>61</v>
      </c>
      <c r="AG33" s="147">
        <v>25</v>
      </c>
      <c r="AH33" s="147">
        <v>25</v>
      </c>
      <c r="AI33" s="147">
        <v>25</v>
      </c>
      <c r="AJ33" s="147">
        <v>27</v>
      </c>
      <c r="AK33" s="204">
        <f>SUM(AG33:AJ33)</f>
        <v>102</v>
      </c>
    </row>
    <row r="34" spans="1:40" x14ac:dyDescent="0.25">
      <c r="A34" s="133" t="s">
        <v>68</v>
      </c>
      <c r="C34" s="118">
        <v>-39</v>
      </c>
      <c r="D34" s="118">
        <v>-39</v>
      </c>
      <c r="E34" s="118">
        <v>-35</v>
      </c>
      <c r="F34" s="118">
        <v>-41</v>
      </c>
      <c r="G34" s="203">
        <f>SUM(C34:F34)</f>
        <v>-154</v>
      </c>
      <c r="H34" s="119">
        <v>-43</v>
      </c>
      <c r="I34" s="119">
        <v>-48</v>
      </c>
      <c r="J34" s="118">
        <v>-48</v>
      </c>
      <c r="K34" s="118">
        <v>-47</v>
      </c>
      <c r="L34" s="203">
        <f>SUM(H34:K34)</f>
        <v>-186</v>
      </c>
      <c r="M34" s="119">
        <v>-46</v>
      </c>
      <c r="N34" s="118">
        <v>-51</v>
      </c>
      <c r="O34" s="118">
        <v>-63</v>
      </c>
      <c r="P34" s="118">
        <v>-64</v>
      </c>
      <c r="Q34" s="203">
        <f>SUM(M34:P34)</f>
        <v>-224</v>
      </c>
      <c r="R34" s="119">
        <v>-69</v>
      </c>
      <c r="S34" s="118">
        <v>-101</v>
      </c>
      <c r="T34" s="118">
        <v>-105</v>
      </c>
      <c r="U34" s="118">
        <v>-105</v>
      </c>
      <c r="V34" s="203">
        <f>SUM(R34:U34)</f>
        <v>-380</v>
      </c>
      <c r="W34" s="119">
        <v>-107</v>
      </c>
      <c r="X34" s="119">
        <v>-106</v>
      </c>
      <c r="Y34" s="119">
        <v>-110</v>
      </c>
      <c r="Z34" s="119">
        <f>-432-Y34-X34-W34</f>
        <v>-109</v>
      </c>
      <c r="AA34" s="203">
        <f>SUM(W34:Z34)</f>
        <v>-432</v>
      </c>
      <c r="AB34" s="119">
        <v>-110</v>
      </c>
      <c r="AC34" s="119">
        <v>-114</v>
      </c>
      <c r="AD34" s="119">
        <v>-120</v>
      </c>
      <c r="AE34" s="119">
        <v>-127</v>
      </c>
      <c r="AF34" s="203">
        <f>SUM(AB34:AE34)</f>
        <v>-471</v>
      </c>
      <c r="AG34" s="132">
        <f>-AG266</f>
        <v>-104.5097725</v>
      </c>
      <c r="AH34" s="132">
        <f t="shared" ref="AH34:AJ34" si="57">-AH266</f>
        <v>-104.5097725</v>
      </c>
      <c r="AI34" s="132">
        <f t="shared" si="57"/>
        <v>-104.5097725</v>
      </c>
      <c r="AJ34" s="132">
        <f t="shared" si="57"/>
        <v>-104.5097725</v>
      </c>
      <c r="AK34" s="205">
        <f>SUM(AG34:AJ34)</f>
        <v>-418.03908999999999</v>
      </c>
    </row>
    <row r="35" spans="1:40" x14ac:dyDescent="0.25">
      <c r="A35" s="133" t="s">
        <v>149</v>
      </c>
      <c r="C35" s="118">
        <v>-4</v>
      </c>
      <c r="D35" s="118">
        <v>0</v>
      </c>
      <c r="E35" s="118">
        <v>11</v>
      </c>
      <c r="F35" s="118">
        <v>-9</v>
      </c>
      <c r="G35" s="203">
        <f>SUM(C35:F35)</f>
        <v>-2</v>
      </c>
      <c r="H35" s="119">
        <v>4</v>
      </c>
      <c r="I35" s="119">
        <v>3</v>
      </c>
      <c r="J35" s="118">
        <v>-6</v>
      </c>
      <c r="K35" s="118">
        <v>-15</v>
      </c>
      <c r="L35" s="203">
        <f>SUM(H35:K35)</f>
        <v>-14</v>
      </c>
      <c r="M35" s="119">
        <v>4</v>
      </c>
      <c r="N35" s="118">
        <f>6</f>
        <v>6</v>
      </c>
      <c r="O35" s="118">
        <f>16</f>
        <v>16</v>
      </c>
      <c r="P35" s="118">
        <v>1</v>
      </c>
      <c r="Q35" s="203">
        <f>SUM(M35:P35)</f>
        <v>27</v>
      </c>
      <c r="R35" s="119">
        <f>3</f>
        <v>3</v>
      </c>
      <c r="S35" s="118">
        <v>1</v>
      </c>
      <c r="T35" s="118">
        <v>3</v>
      </c>
      <c r="U35" s="118">
        <v>-8</v>
      </c>
      <c r="V35" s="203">
        <f>SUM(R35:U35)</f>
        <v>-1</v>
      </c>
      <c r="W35" s="119">
        <v>5</v>
      </c>
      <c r="X35" s="119">
        <v>-3</v>
      </c>
      <c r="Y35" s="119">
        <v>13</v>
      </c>
      <c r="Z35" s="119">
        <v>-9</v>
      </c>
      <c r="AA35" s="203">
        <f>SUM(W35:Z35)</f>
        <v>6</v>
      </c>
      <c r="AB35" s="119">
        <v>4</v>
      </c>
      <c r="AC35" s="119">
        <v>4</v>
      </c>
      <c r="AD35" s="119">
        <v>4</v>
      </c>
      <c r="AE35" s="119">
        <v>11</v>
      </c>
      <c r="AF35" s="203">
        <f>SUM(AB35:AE35)</f>
        <v>23</v>
      </c>
      <c r="AG35" s="55">
        <v>3</v>
      </c>
      <c r="AH35" s="55">
        <v>3</v>
      </c>
      <c r="AI35" s="55">
        <v>3</v>
      </c>
      <c r="AJ35" s="55">
        <v>3</v>
      </c>
      <c r="AK35" s="205">
        <f>SUM(AG35:AJ35)</f>
        <v>12</v>
      </c>
    </row>
    <row r="36" spans="1:40" x14ac:dyDescent="0.25">
      <c r="A36" s="134" t="s">
        <v>69</v>
      </c>
      <c r="C36" s="114">
        <f>SUM(C34:C35)+C33</f>
        <v>-28</v>
      </c>
      <c r="D36" s="114">
        <f>SUM(D34:D35)+D33</f>
        <v>-25</v>
      </c>
      <c r="E36" s="114">
        <f>SUM(E34:E35)+E33</f>
        <v>-9</v>
      </c>
      <c r="F36" s="114">
        <f>SUM(F34:F35)+F33</f>
        <v>-38</v>
      </c>
      <c r="G36" s="167">
        <f>SUM(C36:F36)</f>
        <v>-100</v>
      </c>
      <c r="H36" s="135">
        <f>SUM(H34:H35)+H33</f>
        <v>-22</v>
      </c>
      <c r="I36" s="135">
        <f>SUM(I34:I35)+I33</f>
        <v>-14</v>
      </c>
      <c r="J36" s="114">
        <f>SUM(J34:J35)+J33</f>
        <v>-23</v>
      </c>
      <c r="K36" s="114">
        <f>SUM(K34:K35)+K33</f>
        <v>-19</v>
      </c>
      <c r="L36" s="167">
        <f>SUM(H36:K36)</f>
        <v>-78</v>
      </c>
      <c r="M36" s="114">
        <f>SUM(M34:M35)+M33</f>
        <v>-15</v>
      </c>
      <c r="N36" s="114">
        <f>SUM(N34:N35)+N33</f>
        <v>-21</v>
      </c>
      <c r="O36" s="114">
        <f>SUM(O34:O35)+O33</f>
        <v>-21</v>
      </c>
      <c r="P36" s="114">
        <f>SUM(P34:P35)+P33</f>
        <v>-43</v>
      </c>
      <c r="Q36" s="167">
        <f>SUM(M36:P36)</f>
        <v>-100</v>
      </c>
      <c r="R36" s="114">
        <f>SUM(R34:R35)+R33</f>
        <v>-50</v>
      </c>
      <c r="S36" s="114">
        <f>SUM(S34:S35)+S33</f>
        <v>-92</v>
      </c>
      <c r="T36" s="114">
        <f>SUM(T34:T35)+T33</f>
        <v>-99</v>
      </c>
      <c r="U36" s="114">
        <f>SUM(U34:U35)+U33</f>
        <v>-116</v>
      </c>
      <c r="V36" s="167">
        <f>SUM(R36:U36)</f>
        <v>-357</v>
      </c>
      <c r="W36" s="114">
        <f>SUM(W34:W35)+W33</f>
        <v>-101</v>
      </c>
      <c r="X36" s="114">
        <f>SUM(X34:X35)+X33</f>
        <v>-106</v>
      </c>
      <c r="Y36" s="114">
        <f>SUM(Y34:Y35)+Y33</f>
        <v>-92</v>
      </c>
      <c r="Z36" s="114">
        <f>SUM(Z34:Z35)+Z33</f>
        <v>-116</v>
      </c>
      <c r="AA36" s="167">
        <f>SUM(W36:Z36)</f>
        <v>-415</v>
      </c>
      <c r="AB36" s="114">
        <f>SUM(AB34:AB35)+AB33</f>
        <v>-101</v>
      </c>
      <c r="AC36" s="114">
        <f>SUM(AC34:AC35)+AC33</f>
        <v>-103</v>
      </c>
      <c r="AD36" s="114">
        <f>SUM(AD34:AD35)+AD33</f>
        <v>-100</v>
      </c>
      <c r="AE36" s="114">
        <f>SUM(AE33:AE35)</f>
        <v>-83</v>
      </c>
      <c r="AF36" s="167">
        <f>SUM(AB36:AE36)</f>
        <v>-387</v>
      </c>
      <c r="AG36" s="148">
        <f>SUM(AG33:AG35)</f>
        <v>-76.509772499999997</v>
      </c>
      <c r="AH36" s="148">
        <f t="shared" ref="AH36:AJ36" si="58">SUM(AH33:AH35)</f>
        <v>-76.509772499999997</v>
      </c>
      <c r="AI36" s="148">
        <f t="shared" si="58"/>
        <v>-76.509772499999997</v>
      </c>
      <c r="AJ36" s="148">
        <f t="shared" si="58"/>
        <v>-74.509772499999997</v>
      </c>
      <c r="AK36" s="206">
        <f>SUM(AG36:AJ36)</f>
        <v>-304.03908999999999</v>
      </c>
    </row>
    <row r="37" spans="1:40" x14ac:dyDescent="0.25">
      <c r="C37" s="109"/>
      <c r="D37" s="109"/>
      <c r="E37" s="109"/>
      <c r="F37" s="109"/>
      <c r="G37" s="168"/>
      <c r="H37" s="130"/>
      <c r="I37" s="130"/>
      <c r="J37" s="109"/>
      <c r="K37" s="109"/>
      <c r="L37" s="168"/>
      <c r="M37" s="109"/>
      <c r="N37" s="109"/>
      <c r="O37" s="109"/>
      <c r="P37" s="109"/>
      <c r="Q37" s="168"/>
      <c r="R37" s="109"/>
      <c r="S37" s="109"/>
      <c r="T37" s="109"/>
      <c r="U37" s="109"/>
      <c r="V37" s="168"/>
      <c r="W37" s="109"/>
      <c r="X37" s="109"/>
      <c r="Y37" s="109"/>
      <c r="Z37" s="109"/>
      <c r="AA37" s="168"/>
      <c r="AB37" s="109"/>
      <c r="AC37" s="109"/>
      <c r="AD37" s="109"/>
      <c r="AE37" s="109"/>
      <c r="AF37" s="168"/>
      <c r="AG37" s="55"/>
      <c r="AH37" s="55"/>
      <c r="AI37" s="55"/>
      <c r="AJ37" s="55"/>
      <c r="AK37" s="177"/>
    </row>
    <row r="38" spans="1:40" x14ac:dyDescent="0.25">
      <c r="A38" s="124" t="s">
        <v>70</v>
      </c>
      <c r="C38" s="123">
        <f>C26+C36</f>
        <v>1493</v>
      </c>
      <c r="D38" s="123">
        <f>D26+D36</f>
        <v>1628</v>
      </c>
      <c r="E38" s="123">
        <f>E26+E36</f>
        <v>1932</v>
      </c>
      <c r="F38" s="123">
        <f>F26+F36</f>
        <v>1650</v>
      </c>
      <c r="G38" s="169">
        <f>SUM(C38:F38)</f>
        <v>6703</v>
      </c>
      <c r="H38" s="136">
        <f>H26+H36</f>
        <v>1920</v>
      </c>
      <c r="I38" s="136">
        <f>I26+I36</f>
        <v>2147</v>
      </c>
      <c r="J38" s="123">
        <f>J26+J36</f>
        <v>2293</v>
      </c>
      <c r="K38" s="123">
        <f>K26+K36</f>
        <v>1972</v>
      </c>
      <c r="L38" s="169">
        <f>SUM(H38:K38)</f>
        <v>8332</v>
      </c>
      <c r="M38" s="123">
        <f>M26+M36</f>
        <v>2198</v>
      </c>
      <c r="N38" s="123">
        <f>N26+N36</f>
        <v>2376</v>
      </c>
      <c r="O38" s="123">
        <f>O26+O36</f>
        <v>2634</v>
      </c>
      <c r="P38" s="123">
        <f>P26+P36</f>
        <v>2356</v>
      </c>
      <c r="Q38" s="169">
        <f>SUM(M38:P38)</f>
        <v>9564</v>
      </c>
      <c r="R38" s="123">
        <f>R26+R36</f>
        <v>2167</v>
      </c>
      <c r="S38" s="123">
        <f>S26+S36</f>
        <v>1659</v>
      </c>
      <c r="T38" s="123">
        <f>T26+T36</f>
        <v>2006</v>
      </c>
      <c r="U38" s="123">
        <f>U26+U36</f>
        <v>1987</v>
      </c>
      <c r="V38" s="169">
        <f>SUM(R38:U38)</f>
        <v>7819</v>
      </c>
      <c r="W38" s="123">
        <f>W26+W36</f>
        <v>2096</v>
      </c>
      <c r="X38" s="123">
        <f>X26+X36</f>
        <v>2302</v>
      </c>
      <c r="Y38" s="123">
        <f>Y26+Y36</f>
        <v>2735</v>
      </c>
      <c r="Z38" s="123">
        <f>Z26+Z36</f>
        <v>2711</v>
      </c>
      <c r="AA38" s="169">
        <f>SUM(W38:Z38)</f>
        <v>9844</v>
      </c>
      <c r="AB38" s="123">
        <f>AB26+AB36</f>
        <v>2209</v>
      </c>
      <c r="AC38" s="123">
        <f>AC26+AC36</f>
        <v>3075</v>
      </c>
      <c r="AD38" s="123">
        <f>AD26+AD36</f>
        <v>3220</v>
      </c>
      <c r="AE38" s="123">
        <f>AE26+AE36</f>
        <v>3116</v>
      </c>
      <c r="AF38" s="169">
        <f>SUM(AB38:AE38)</f>
        <v>11620</v>
      </c>
      <c r="AG38" s="146">
        <f>AG26+AG36</f>
        <v>2263.1769729382672</v>
      </c>
      <c r="AH38" s="146">
        <f t="shared" ref="AH38:AJ38" si="59">AH26+AH36</f>
        <v>3415.9625434217915</v>
      </c>
      <c r="AI38" s="146">
        <f t="shared" si="59"/>
        <v>3709.5267181468553</v>
      </c>
      <c r="AJ38" s="146">
        <f t="shared" si="59"/>
        <v>3538.1275912750166</v>
      </c>
      <c r="AK38" s="199">
        <f>SUM(AG38:AJ38)</f>
        <v>12926.793825781931</v>
      </c>
    </row>
    <row r="39" spans="1:40" x14ac:dyDescent="0.25">
      <c r="A39" s="109"/>
      <c r="C39" s="109"/>
      <c r="D39" s="109"/>
      <c r="E39" s="109"/>
      <c r="F39" s="109"/>
      <c r="G39" s="168"/>
      <c r="H39" s="130"/>
      <c r="I39" s="130"/>
      <c r="J39" s="109"/>
      <c r="K39" s="108"/>
      <c r="L39" s="168"/>
      <c r="M39" s="109"/>
      <c r="N39" s="109"/>
      <c r="O39" s="109"/>
      <c r="P39" s="109"/>
      <c r="Q39" s="168"/>
      <c r="R39" s="109"/>
      <c r="S39" s="109"/>
      <c r="T39" s="109"/>
      <c r="U39" s="109"/>
      <c r="V39" s="168"/>
      <c r="W39" s="109"/>
      <c r="X39" s="109"/>
      <c r="Y39" s="109"/>
      <c r="Z39" s="109"/>
      <c r="AA39" s="168"/>
      <c r="AB39" s="109"/>
      <c r="AC39" s="109"/>
      <c r="AD39" s="109"/>
      <c r="AE39" s="109"/>
      <c r="AF39" s="168"/>
      <c r="AG39" s="55"/>
      <c r="AH39" s="55"/>
      <c r="AI39" s="55"/>
      <c r="AJ39" s="55"/>
      <c r="AK39" s="177"/>
    </row>
    <row r="40" spans="1:40" x14ac:dyDescent="0.25">
      <c r="A40" s="134" t="s">
        <v>71</v>
      </c>
      <c r="C40" s="108">
        <v>402</v>
      </c>
      <c r="D40" s="108">
        <v>450.5</v>
      </c>
      <c r="E40" s="108">
        <v>502</v>
      </c>
      <c r="F40" s="108">
        <f>1257-873+57</f>
        <v>441</v>
      </c>
      <c r="G40" s="202">
        <f>SUM(C40:F40)</f>
        <v>1795.5</v>
      </c>
      <c r="H40" s="110">
        <f>311+(117-89)</f>
        <v>339</v>
      </c>
      <c r="I40" s="110">
        <f>353+(225-175)</f>
        <v>403</v>
      </c>
      <c r="J40" s="110">
        <f>365+7+50+15</f>
        <v>437</v>
      </c>
      <c r="K40" s="108">
        <f>316-(772-757)+59</f>
        <v>360</v>
      </c>
      <c r="L40" s="202">
        <f>SUM(H40:K40)</f>
        <v>1539</v>
      </c>
      <c r="M40" s="110">
        <f>341+30</f>
        <v>371</v>
      </c>
      <c r="N40" s="108">
        <f>471-(143-111)</f>
        <v>439</v>
      </c>
      <c r="O40" s="108">
        <f>426+(100-84)</f>
        <v>442</v>
      </c>
      <c r="P40" s="108">
        <f>375-(119-92)+27</f>
        <v>375</v>
      </c>
      <c r="Q40" s="202">
        <f>SUM(M40:P40)</f>
        <v>1627</v>
      </c>
      <c r="R40" s="110">
        <v>294</v>
      </c>
      <c r="S40" s="108">
        <f>270-8+5</f>
        <v>267</v>
      </c>
      <c r="T40" s="108">
        <v>402</v>
      </c>
      <c r="U40" s="108">
        <v>304</v>
      </c>
      <c r="V40" s="202">
        <f>SUM(R40:U40)</f>
        <v>1267</v>
      </c>
      <c r="W40" s="110">
        <v>355</v>
      </c>
      <c r="X40" s="110">
        <v>365</v>
      </c>
      <c r="Y40" s="110">
        <v>394</v>
      </c>
      <c r="Z40" s="110">
        <v>398</v>
      </c>
      <c r="AA40" s="202">
        <f>SUM(W40:Z40)</f>
        <v>1512</v>
      </c>
      <c r="AB40" s="110">
        <v>151</v>
      </c>
      <c r="AC40" s="110">
        <v>578</v>
      </c>
      <c r="AD40" s="110">
        <v>625</v>
      </c>
      <c r="AE40" s="110">
        <f>AE38*AE41</f>
        <v>567.11199999999997</v>
      </c>
      <c r="AF40" s="202">
        <f>SUM(AB40:AE40)</f>
        <v>1921.1120000000001</v>
      </c>
      <c r="AG40" s="147">
        <f>AG38*AG41</f>
        <v>407.37185512888806</v>
      </c>
      <c r="AH40" s="147">
        <f t="shared" ref="AH40:AJ40" si="60">AH38*AH41</f>
        <v>614.87325781592244</v>
      </c>
      <c r="AI40" s="147">
        <f t="shared" si="60"/>
        <v>667.71480926643392</v>
      </c>
      <c r="AJ40" s="147">
        <f t="shared" si="60"/>
        <v>636.86296642950299</v>
      </c>
      <c r="AK40" s="204">
        <f>SUM(AG40:AJ40)</f>
        <v>2326.8228886407474</v>
      </c>
    </row>
    <row r="41" spans="1:40" x14ac:dyDescent="0.25">
      <c r="A41" s="137" t="s">
        <v>72</v>
      </c>
      <c r="C41" s="115">
        <f t="shared" ref="C41:AB41" si="61">C40/C38</f>
        <v>0.26925653047555259</v>
      </c>
      <c r="D41" s="112">
        <f t="shared" si="61"/>
        <v>0.27671990171990174</v>
      </c>
      <c r="E41" s="112">
        <f t="shared" si="61"/>
        <v>0.25983436853002068</v>
      </c>
      <c r="F41" s="112">
        <f t="shared" si="61"/>
        <v>0.26727272727272727</v>
      </c>
      <c r="G41" s="186">
        <f>G40/G38</f>
        <v>0.26786513501417275</v>
      </c>
      <c r="H41" s="115">
        <f t="shared" si="61"/>
        <v>0.17656250000000001</v>
      </c>
      <c r="I41" s="115">
        <f t="shared" si="61"/>
        <v>0.18770377270610153</v>
      </c>
      <c r="J41" s="115">
        <f t="shared" si="61"/>
        <v>0.19058002616659397</v>
      </c>
      <c r="K41" s="115">
        <f t="shared" si="61"/>
        <v>0.18255578093306288</v>
      </c>
      <c r="L41" s="186">
        <f t="shared" si="61"/>
        <v>0.18470955352856458</v>
      </c>
      <c r="M41" s="115">
        <f t="shared" si="61"/>
        <v>0.16878980891719744</v>
      </c>
      <c r="N41" s="115">
        <f t="shared" si="61"/>
        <v>0.18476430976430977</v>
      </c>
      <c r="O41" s="115">
        <f t="shared" si="61"/>
        <v>0.16780561883067577</v>
      </c>
      <c r="P41" s="115">
        <f t="shared" si="61"/>
        <v>0.15916808149405773</v>
      </c>
      <c r="Q41" s="186">
        <f t="shared" si="61"/>
        <v>0.17011710581346717</v>
      </c>
      <c r="R41" s="115">
        <f t="shared" si="61"/>
        <v>0.13567143516382096</v>
      </c>
      <c r="S41" s="115">
        <f t="shared" si="61"/>
        <v>0.16094032549728751</v>
      </c>
      <c r="T41" s="115">
        <f t="shared" si="61"/>
        <v>0.20039880358923232</v>
      </c>
      <c r="U41" s="115">
        <f t="shared" si="61"/>
        <v>0.15299446401610467</v>
      </c>
      <c r="V41" s="186">
        <f t="shared" si="61"/>
        <v>0.16204118173679499</v>
      </c>
      <c r="W41" s="115">
        <f t="shared" si="61"/>
        <v>0.1693702290076336</v>
      </c>
      <c r="X41" s="115">
        <f t="shared" si="61"/>
        <v>0.15855777584708949</v>
      </c>
      <c r="Y41" s="115">
        <f t="shared" si="61"/>
        <v>0.14405850091407679</v>
      </c>
      <c r="Z41" s="115">
        <f t="shared" si="61"/>
        <v>0.14680929546292881</v>
      </c>
      <c r="AA41" s="186">
        <f t="shared" si="61"/>
        <v>0.15359609914668834</v>
      </c>
      <c r="AB41" s="115">
        <f t="shared" si="61"/>
        <v>6.8356722498868261E-2</v>
      </c>
      <c r="AC41" s="115">
        <f t="shared" ref="AC41:AD41" si="62">AC40/AC38</f>
        <v>0.18796747967479674</v>
      </c>
      <c r="AD41" s="115">
        <f t="shared" si="62"/>
        <v>0.19409937888198758</v>
      </c>
      <c r="AE41" s="115">
        <v>0.182</v>
      </c>
      <c r="AF41" s="186">
        <f>AF40/AF38</f>
        <v>0.16532805507745268</v>
      </c>
      <c r="AG41" s="159">
        <v>0.18</v>
      </c>
      <c r="AH41" s="159">
        <v>0.18</v>
      </c>
      <c r="AI41" s="159">
        <v>0.18</v>
      </c>
      <c r="AJ41" s="159">
        <v>0.18</v>
      </c>
      <c r="AK41" s="179">
        <f>AK40/AK38</f>
        <v>0.17999999999999997</v>
      </c>
    </row>
    <row r="42" spans="1:40" x14ac:dyDescent="0.25">
      <c r="A42" s="128"/>
      <c r="C42" s="109"/>
      <c r="D42" s="109"/>
      <c r="E42" s="109"/>
      <c r="F42" s="109"/>
      <c r="G42" s="168"/>
      <c r="H42" s="109"/>
      <c r="I42" s="109"/>
      <c r="J42" s="109"/>
      <c r="K42" s="109"/>
      <c r="L42" s="168"/>
      <c r="M42" s="109"/>
      <c r="N42" s="114"/>
      <c r="O42" s="109"/>
      <c r="P42" s="109"/>
      <c r="Q42" s="168"/>
      <c r="R42" s="109"/>
      <c r="S42" s="114"/>
      <c r="T42" s="109"/>
      <c r="U42" s="109"/>
      <c r="V42" s="168"/>
      <c r="W42" s="109"/>
      <c r="X42" s="109"/>
      <c r="Y42" s="109"/>
      <c r="Z42" s="109"/>
      <c r="AA42" s="168"/>
      <c r="AB42" s="109"/>
      <c r="AC42" s="109"/>
      <c r="AD42" s="109"/>
      <c r="AE42" s="109"/>
      <c r="AF42" s="168"/>
      <c r="AG42" s="55"/>
      <c r="AH42" s="55"/>
      <c r="AI42" s="55"/>
      <c r="AJ42" s="55"/>
      <c r="AK42" s="177"/>
    </row>
    <row r="43" spans="1:40" x14ac:dyDescent="0.25">
      <c r="A43" s="216" t="s">
        <v>73</v>
      </c>
      <c r="C43" s="239">
        <f>C38-C40</f>
        <v>1091</v>
      </c>
      <c r="D43" s="239">
        <f>D38-D40</f>
        <v>1177.5</v>
      </c>
      <c r="E43" s="239">
        <f>E38-E40</f>
        <v>1430</v>
      </c>
      <c r="F43" s="239">
        <f>F38-F40</f>
        <v>1209</v>
      </c>
      <c r="G43" s="240">
        <f>SUM(C43:F43)</f>
        <v>4907.5</v>
      </c>
      <c r="H43" s="239">
        <f>H38-H40</f>
        <v>1581</v>
      </c>
      <c r="I43" s="239">
        <f>I38-I40</f>
        <v>1744</v>
      </c>
      <c r="J43" s="239">
        <f>J38-J40</f>
        <v>1856</v>
      </c>
      <c r="K43" s="239">
        <f>K38-K40</f>
        <v>1612</v>
      </c>
      <c r="L43" s="240">
        <f>SUM(H43:K43)</f>
        <v>6793</v>
      </c>
      <c r="M43" s="239">
        <f>M38-M40</f>
        <v>1827</v>
      </c>
      <c r="N43" s="239">
        <f>N38-N40</f>
        <v>1937</v>
      </c>
      <c r="O43" s="239">
        <f>O38-O40</f>
        <v>2192</v>
      </c>
      <c r="P43" s="239">
        <f>P38-P40</f>
        <v>1981</v>
      </c>
      <c r="Q43" s="240">
        <f>SUM(M43:P43)</f>
        <v>7937</v>
      </c>
      <c r="R43" s="239">
        <f>R38-R40</f>
        <v>1873</v>
      </c>
      <c r="S43" s="239">
        <f>S38-S40</f>
        <v>1392</v>
      </c>
      <c r="T43" s="239">
        <f>T38-T40</f>
        <v>1604</v>
      </c>
      <c r="U43" s="239">
        <f>U38-U40</f>
        <v>1683</v>
      </c>
      <c r="V43" s="240">
        <f>SUM(R43:U43)</f>
        <v>6552</v>
      </c>
      <c r="W43" s="239">
        <f>W38-W40</f>
        <v>1741</v>
      </c>
      <c r="X43" s="239">
        <f>X38-X40</f>
        <v>1937</v>
      </c>
      <c r="Y43" s="239">
        <f>Y38-Y40</f>
        <v>2341</v>
      </c>
      <c r="Z43" s="239">
        <f>Z38-Z40</f>
        <v>2313</v>
      </c>
      <c r="AA43" s="240">
        <f>SUM(W43:Z43)</f>
        <v>8332</v>
      </c>
      <c r="AB43" s="239">
        <f>AB38-AB40</f>
        <v>2058</v>
      </c>
      <c r="AC43" s="239">
        <f t="shared" ref="AC43:AD43" si="63">AC38-AC40</f>
        <v>2497</v>
      </c>
      <c r="AD43" s="239">
        <f t="shared" si="63"/>
        <v>2595</v>
      </c>
      <c r="AE43" s="239">
        <f>AE38-AE40</f>
        <v>2548.8879999999999</v>
      </c>
      <c r="AF43" s="240">
        <f>SUM(AB43:AE43)</f>
        <v>9698.887999999999</v>
      </c>
      <c r="AG43" s="241">
        <f>AG38-AG40</f>
        <v>1855.8051178093792</v>
      </c>
      <c r="AH43" s="241">
        <f t="shared" ref="AH43:AJ43" si="64">AH38-AH40</f>
        <v>2801.089285605869</v>
      </c>
      <c r="AI43" s="241">
        <f t="shared" si="64"/>
        <v>3041.8119088804215</v>
      </c>
      <c r="AJ43" s="241">
        <f t="shared" si="64"/>
        <v>2901.2646248455135</v>
      </c>
      <c r="AK43" s="242">
        <f>SUM(AG43:AJ43)</f>
        <v>10599.970937141183</v>
      </c>
    </row>
    <row r="44" spans="1:40" x14ac:dyDescent="0.25">
      <c r="C44" s="109"/>
      <c r="D44" s="109"/>
      <c r="E44" s="109"/>
      <c r="F44" s="109"/>
      <c r="G44" s="168"/>
      <c r="H44" s="109"/>
      <c r="I44" s="109"/>
      <c r="J44" s="109"/>
      <c r="K44" s="109"/>
      <c r="L44" s="168"/>
      <c r="M44" s="109"/>
      <c r="N44" s="109"/>
      <c r="O44" s="109"/>
      <c r="P44" s="109"/>
      <c r="Q44" s="168"/>
      <c r="R44" s="109"/>
      <c r="S44" s="109"/>
      <c r="T44" s="109"/>
      <c r="U44" s="109"/>
      <c r="V44" s="168"/>
      <c r="W44" s="109"/>
      <c r="X44" s="109"/>
      <c r="Y44" s="109"/>
      <c r="Z44" s="109"/>
      <c r="AA44" s="168"/>
      <c r="AB44" s="109"/>
      <c r="AC44" s="109"/>
      <c r="AD44" s="109"/>
      <c r="AE44" s="55"/>
      <c r="AF44" s="168"/>
      <c r="AG44" s="55"/>
      <c r="AH44" s="55"/>
      <c r="AI44" s="55"/>
      <c r="AJ44" s="55"/>
      <c r="AK44" s="177"/>
    </row>
    <row r="45" spans="1:40" x14ac:dyDescent="0.25">
      <c r="A45" s="247" t="s">
        <v>138</v>
      </c>
      <c r="C45" s="243">
        <f>C43/C48</f>
        <v>1.0083179297597042</v>
      </c>
      <c r="D45" s="243">
        <f>D43/D48</f>
        <v>1.0953488372093023</v>
      </c>
      <c r="E45" s="243">
        <f>E43/E48</f>
        <v>1.3389513108614233</v>
      </c>
      <c r="F45" s="243">
        <f>F43/F48</f>
        <v>1.1373471307619945</v>
      </c>
      <c r="G45" s="244">
        <f>SUM(C45:F45)</f>
        <v>4.5799652085924238</v>
      </c>
      <c r="H45" s="243">
        <f>H43/H48</f>
        <v>1.4957426679280983</v>
      </c>
      <c r="I45" s="243">
        <f>I43/I48</f>
        <v>1.6625357483317444</v>
      </c>
      <c r="J45" s="243">
        <f>J43/J48</f>
        <v>1.7794822627037392</v>
      </c>
      <c r="K45" s="243">
        <f>K43/K48</f>
        <v>1.5529865125240847</v>
      </c>
      <c r="L45" s="244">
        <f>SUM(H45:K45)</f>
        <v>6.4907471914876673</v>
      </c>
      <c r="M45" s="243">
        <f>M43/M48</f>
        <v>1.7703488372093024</v>
      </c>
      <c r="N45" s="243">
        <f>N43/N48</f>
        <v>1.8897560975609755</v>
      </c>
      <c r="O45" s="243">
        <f>O43/O48</f>
        <v>2.1511285574092249</v>
      </c>
      <c r="P45" s="243">
        <f>P43/P48</f>
        <v>1.9555774925962488</v>
      </c>
      <c r="Q45" s="244">
        <f>SUM(M45:P45)</f>
        <v>7.7668109847757512</v>
      </c>
      <c r="R45" s="243">
        <f>R43/R48</f>
        <v>1.8544554455445545</v>
      </c>
      <c r="S45" s="243">
        <f>S43/S48</f>
        <v>1.3809523809523809</v>
      </c>
      <c r="T45" s="243">
        <f>T43/T48</f>
        <v>1.5960199004975124</v>
      </c>
      <c r="U45" s="243">
        <f>U43/U48</f>
        <v>1.6813186813186813</v>
      </c>
      <c r="V45" s="244">
        <f>SUM(R45:U45)</f>
        <v>6.512746408313129</v>
      </c>
      <c r="W45" s="243">
        <f>W43/W48</f>
        <v>1.7444889779559118</v>
      </c>
      <c r="X45" s="243">
        <f>X43/X48</f>
        <v>1.948692152917505</v>
      </c>
      <c r="Y45" s="243">
        <f>Y43/Y48</f>
        <v>2.3646464646464644</v>
      </c>
      <c r="Z45" s="243">
        <f>Z43/Z48</f>
        <v>2.3316532258064515</v>
      </c>
      <c r="AA45" s="244">
        <f>SUM(W45:Z45)</f>
        <v>8.3894808213263339</v>
      </c>
      <c r="AB45" s="243">
        <f>AB43/AB48</f>
        <v>2.0978593272171255</v>
      </c>
      <c r="AC45" s="243">
        <f t="shared" ref="AC45:AJ45" si="65">AC43/AC48</f>
        <v>2.5636550308008212</v>
      </c>
      <c r="AD45" s="243">
        <f t="shared" si="65"/>
        <v>2.6807851239669422</v>
      </c>
      <c r="AE45" s="243">
        <f t="shared" si="65"/>
        <v>2.6468203530633438</v>
      </c>
      <c r="AF45" s="244">
        <f>SUM(AB45:AE45)</f>
        <v>9.989119835048232</v>
      </c>
      <c r="AG45" s="245">
        <f>AG43/AG48</f>
        <v>1.9534790713782939</v>
      </c>
      <c r="AH45" s="245">
        <f t="shared" si="65"/>
        <v>2.9578556342195026</v>
      </c>
      <c r="AI45" s="245">
        <f t="shared" si="65"/>
        <v>3.2222583780512939</v>
      </c>
      <c r="AJ45" s="245">
        <f t="shared" si="65"/>
        <v>3.0864517285590569</v>
      </c>
      <c r="AK45" s="246">
        <f>SUM(AG45:AJ45)</f>
        <v>11.220044812208148</v>
      </c>
      <c r="AN45" s="212"/>
    </row>
    <row r="46" spans="1:40" x14ac:dyDescent="0.25">
      <c r="A46" s="138" t="s">
        <v>74</v>
      </c>
      <c r="C46" s="99" t="s">
        <v>2</v>
      </c>
      <c r="D46" s="100" t="s">
        <v>2</v>
      </c>
      <c r="E46" s="99" t="s">
        <v>2</v>
      </c>
      <c r="F46" s="100" t="s">
        <v>2</v>
      </c>
      <c r="G46" s="163" t="s">
        <v>2</v>
      </c>
      <c r="H46" s="129">
        <f t="shared" ref="H46:AB46" si="66">H45/C45-1</f>
        <v>0.48340381915508934</v>
      </c>
      <c r="I46" s="129">
        <f t="shared" si="66"/>
        <v>0.51781395282940568</v>
      </c>
      <c r="J46" s="129">
        <f t="shared" si="66"/>
        <v>0.32901192766964571</v>
      </c>
      <c r="K46" s="129">
        <f t="shared" si="66"/>
        <v>0.36544637122671797</v>
      </c>
      <c r="L46" s="166">
        <f t="shared" si="66"/>
        <v>0.41720447555157092</v>
      </c>
      <c r="M46" s="129">
        <f t="shared" si="66"/>
        <v>0.18359185384581456</v>
      </c>
      <c r="N46" s="129">
        <f t="shared" si="66"/>
        <v>0.13667095547102259</v>
      </c>
      <c r="O46" s="129">
        <f t="shared" si="66"/>
        <v>0.2088508003113263</v>
      </c>
      <c r="P46" s="129">
        <f t="shared" si="66"/>
        <v>0.25923662364448274</v>
      </c>
      <c r="Q46" s="166">
        <f t="shared" si="66"/>
        <v>0.19659736477821621</v>
      </c>
      <c r="R46" s="129">
        <f t="shared" si="66"/>
        <v>4.7508494691833825E-2</v>
      </c>
      <c r="S46" s="129">
        <f t="shared" si="66"/>
        <v>-0.26924306118936991</v>
      </c>
      <c r="T46" s="129">
        <f t="shared" si="66"/>
        <v>-0.25805461742382985</v>
      </c>
      <c r="U46" s="129">
        <f t="shared" si="66"/>
        <v>-0.14024440980523767</v>
      </c>
      <c r="V46" s="166">
        <f t="shared" si="66"/>
        <v>-0.16146454174316827</v>
      </c>
      <c r="W46" s="129">
        <f t="shared" si="66"/>
        <v>-5.9298522298200318E-2</v>
      </c>
      <c r="X46" s="129">
        <f t="shared" si="66"/>
        <v>0.41112190383681391</v>
      </c>
      <c r="Y46" s="129">
        <f t="shared" si="66"/>
        <v>0.48158958663946194</v>
      </c>
      <c r="Z46" s="129">
        <f t="shared" si="66"/>
        <v>0.38680028462998095</v>
      </c>
      <c r="AA46" s="166">
        <f t="shared" si="66"/>
        <v>0.28816328709155115</v>
      </c>
      <c r="AB46" s="129">
        <f t="shared" si="66"/>
        <v>0.20256381881831786</v>
      </c>
      <c r="AC46" s="129">
        <f t="shared" ref="AC46:AD46" si="67">AC45/X45-1</f>
        <v>0.3155772331523059</v>
      </c>
      <c r="AD46" s="129">
        <f t="shared" si="67"/>
        <v>0.13369383713253868</v>
      </c>
      <c r="AE46" s="129">
        <f>AE45/Z45-1</f>
        <v>0.13516895384299055</v>
      </c>
      <c r="AF46" s="166">
        <f>AF45/AA45-1</f>
        <v>0.19067199124593781</v>
      </c>
      <c r="AG46" s="149">
        <f>AG45/AB45-1</f>
        <v>-6.8822658395478076E-2</v>
      </c>
      <c r="AH46" s="149">
        <f t="shared" ref="AH46:AJ46" si="68">AH45/AC45-1</f>
        <v>0.15376507317973398</v>
      </c>
      <c r="AI46" s="149">
        <f t="shared" si="68"/>
        <v>0.201983086687342</v>
      </c>
      <c r="AJ46" s="149">
        <f t="shared" si="68"/>
        <v>0.16609792764624087</v>
      </c>
      <c r="AK46" s="193">
        <f>AK45/AF45-1</f>
        <v>0.1232265702570754</v>
      </c>
    </row>
    <row r="47" spans="1:40" x14ac:dyDescent="0.25">
      <c r="C47" s="109"/>
      <c r="D47" s="109"/>
      <c r="E47" s="109"/>
      <c r="F47" s="109"/>
      <c r="G47" s="168"/>
      <c r="H47" s="109"/>
      <c r="I47" s="109"/>
      <c r="J47" s="109"/>
      <c r="K47" s="109"/>
      <c r="L47" s="168"/>
      <c r="M47" s="109"/>
      <c r="N47" s="109"/>
      <c r="O47" s="109"/>
      <c r="P47" s="109"/>
      <c r="Q47" s="168"/>
      <c r="R47" s="109"/>
      <c r="S47" s="109"/>
      <c r="T47" s="109"/>
      <c r="U47" s="109"/>
      <c r="V47" s="168"/>
      <c r="W47" s="109"/>
      <c r="X47" s="109"/>
      <c r="Y47" s="109"/>
      <c r="Z47" s="109"/>
      <c r="AA47" s="168"/>
      <c r="AB47" s="109"/>
      <c r="AC47" s="109"/>
      <c r="AD47" s="109"/>
      <c r="AE47" s="109"/>
      <c r="AF47" s="177"/>
      <c r="AG47" s="55"/>
      <c r="AH47" s="55"/>
      <c r="AI47" s="55"/>
      <c r="AJ47" s="55"/>
      <c r="AK47" s="177"/>
    </row>
    <row r="48" spans="1:40" x14ac:dyDescent="0.25">
      <c r="A48" t="s">
        <v>75</v>
      </c>
      <c r="C48" s="139">
        <v>1082</v>
      </c>
      <c r="D48" s="139">
        <v>1075</v>
      </c>
      <c r="E48" s="139">
        <v>1068</v>
      </c>
      <c r="F48" s="139">
        <v>1063</v>
      </c>
      <c r="G48" s="203"/>
      <c r="H48" s="139">
        <v>1057</v>
      </c>
      <c r="I48" s="139">
        <v>1049</v>
      </c>
      <c r="J48" s="139">
        <v>1043</v>
      </c>
      <c r="K48" s="139">
        <v>1038</v>
      </c>
      <c r="L48" s="174"/>
      <c r="M48" s="139">
        <v>1032</v>
      </c>
      <c r="N48" s="139">
        <v>1025</v>
      </c>
      <c r="O48" s="139">
        <v>1019</v>
      </c>
      <c r="P48" s="139">
        <v>1013</v>
      </c>
      <c r="Q48" s="174"/>
      <c r="R48" s="139">
        <v>1010</v>
      </c>
      <c r="S48" s="139">
        <v>1008</v>
      </c>
      <c r="T48" s="139">
        <v>1005</v>
      </c>
      <c r="U48" s="139">
        <v>1001</v>
      </c>
      <c r="V48" s="174"/>
      <c r="W48" s="139">
        <v>998</v>
      </c>
      <c r="X48" s="139">
        <v>994</v>
      </c>
      <c r="Y48" s="139">
        <v>990</v>
      </c>
      <c r="Z48" s="139">
        <v>992</v>
      </c>
      <c r="AA48" s="174"/>
      <c r="AB48" s="139">
        <v>981</v>
      </c>
      <c r="AC48" s="139">
        <v>974</v>
      </c>
      <c r="AD48" s="139">
        <v>968</v>
      </c>
      <c r="AE48" s="139">
        <v>963</v>
      </c>
      <c r="AF48" s="177"/>
      <c r="AG48" s="55">
        <v>950</v>
      </c>
      <c r="AH48" s="55">
        <v>947</v>
      </c>
      <c r="AI48" s="55">
        <v>944</v>
      </c>
      <c r="AJ48" s="55">
        <v>940</v>
      </c>
    </row>
    <row r="49" spans="1:37" x14ac:dyDescent="0.25">
      <c r="C49" s="109"/>
      <c r="D49" s="109"/>
      <c r="E49" s="109"/>
      <c r="F49" s="109"/>
      <c r="G49" s="168"/>
      <c r="H49" s="109"/>
      <c r="I49" s="109"/>
      <c r="J49" s="109"/>
      <c r="K49" s="109"/>
      <c r="L49" s="168"/>
      <c r="M49" s="109"/>
      <c r="N49" s="109"/>
      <c r="O49" s="109"/>
      <c r="P49" s="109"/>
      <c r="Q49" s="168"/>
      <c r="R49" s="109"/>
      <c r="S49" s="109"/>
      <c r="T49" s="109"/>
      <c r="U49" s="109"/>
      <c r="V49" s="168"/>
      <c r="W49" s="109"/>
      <c r="X49" s="109"/>
      <c r="Y49" s="109"/>
      <c r="Z49" s="109"/>
      <c r="AA49" s="168"/>
      <c r="AB49" s="109"/>
      <c r="AC49" s="109"/>
      <c r="AD49" s="109"/>
      <c r="AE49" s="109"/>
      <c r="AF49" s="177"/>
      <c r="AG49" s="55"/>
      <c r="AH49" s="55"/>
      <c r="AI49" s="55"/>
      <c r="AJ49" s="55"/>
    </row>
    <row r="50" spans="1:37" x14ac:dyDescent="0.25">
      <c r="A50" s="140" t="s">
        <v>76</v>
      </c>
      <c r="C50" s="141" t="e">
        <f>#REF!*1.15</f>
        <v>#REF!</v>
      </c>
      <c r="D50" s="141" t="e">
        <f>C50</f>
        <v>#REF!</v>
      </c>
      <c r="E50" s="141" t="e">
        <f>D50</f>
        <v>#REF!</v>
      </c>
      <c r="F50" s="141" t="e">
        <f>E50</f>
        <v>#REF!</v>
      </c>
      <c r="G50" s="168"/>
      <c r="H50" s="141" t="e">
        <f>F50*1.15</f>
        <v>#REF!</v>
      </c>
      <c r="I50" s="141" t="e">
        <f>H50</f>
        <v>#REF!</v>
      </c>
      <c r="J50" s="141" t="e">
        <f>I50</f>
        <v>#REF!</v>
      </c>
      <c r="K50" s="141" t="e">
        <f>J50</f>
        <v>#REF!</v>
      </c>
      <c r="L50" s="175"/>
      <c r="M50" s="141">
        <v>0.33</v>
      </c>
      <c r="N50" s="141">
        <f>M50</f>
        <v>0.33</v>
      </c>
      <c r="O50" s="141">
        <f>N50</f>
        <v>0.33</v>
      </c>
      <c r="P50" s="141">
        <f>O50</f>
        <v>0.33</v>
      </c>
      <c r="Q50" s="175"/>
      <c r="R50" s="141">
        <f>P50*1.15</f>
        <v>0.3795</v>
      </c>
      <c r="S50" s="141">
        <f>R50</f>
        <v>0.3795</v>
      </c>
      <c r="T50" s="141">
        <f>S50</f>
        <v>0.3795</v>
      </c>
      <c r="U50" s="141">
        <f>T50</f>
        <v>0.3795</v>
      </c>
      <c r="V50" s="175"/>
      <c r="W50" s="141">
        <f>U50*1.15</f>
        <v>0.43642499999999995</v>
      </c>
      <c r="X50" s="141">
        <f>W50</f>
        <v>0.43642499999999995</v>
      </c>
      <c r="Y50" s="141">
        <f>X50</f>
        <v>0.43642499999999995</v>
      </c>
      <c r="Z50" s="141">
        <f>1.76-SUM(W50:Y50)</f>
        <v>0.45072500000000004</v>
      </c>
      <c r="AA50" s="175"/>
      <c r="AB50" s="141">
        <v>0.49</v>
      </c>
      <c r="AC50" s="141">
        <v>0.49</v>
      </c>
      <c r="AD50" s="141">
        <v>0.49</v>
      </c>
      <c r="AE50" s="141">
        <v>0.49</v>
      </c>
      <c r="AF50" s="177"/>
      <c r="AG50" s="150">
        <v>0.49</v>
      </c>
      <c r="AH50" s="150">
        <v>0.49</v>
      </c>
      <c r="AI50" s="150">
        <v>0.49</v>
      </c>
      <c r="AJ50" s="150">
        <v>0.49</v>
      </c>
    </row>
    <row r="51" spans="1:37" x14ac:dyDescent="0.25">
      <c r="C51" s="109"/>
      <c r="D51" s="109"/>
      <c r="E51" s="109"/>
      <c r="F51" s="109"/>
      <c r="G51" s="165"/>
      <c r="H51" s="109"/>
      <c r="I51" s="109"/>
      <c r="J51" s="109"/>
      <c r="K51" s="109"/>
      <c r="L51" s="168"/>
      <c r="M51" s="109"/>
      <c r="N51" s="109"/>
      <c r="O51" s="109"/>
      <c r="P51" s="109"/>
      <c r="Q51" s="168"/>
      <c r="R51" s="109"/>
      <c r="S51" s="109"/>
      <c r="T51" s="109"/>
      <c r="U51" s="109"/>
      <c r="V51" s="168"/>
      <c r="W51" s="109"/>
      <c r="X51" s="109"/>
      <c r="Y51" s="109"/>
      <c r="Z51" s="109"/>
      <c r="AA51" s="168"/>
      <c r="AB51" s="109"/>
      <c r="AC51" s="109"/>
      <c r="AD51" s="109"/>
      <c r="AE51" s="109"/>
    </row>
    <row r="52" spans="1:37" x14ac:dyDescent="0.25">
      <c r="C52" s="109"/>
      <c r="D52" s="109"/>
      <c r="E52" s="109"/>
      <c r="F52" s="109"/>
      <c r="G52" s="165"/>
      <c r="H52" s="109"/>
      <c r="I52" s="109"/>
      <c r="J52" s="109"/>
      <c r="K52" s="109"/>
      <c r="L52" s="168"/>
      <c r="M52" s="109"/>
      <c r="N52" s="109"/>
      <c r="O52" s="109"/>
      <c r="P52" s="109"/>
      <c r="Q52" s="168"/>
      <c r="R52" s="109"/>
      <c r="S52" s="109"/>
      <c r="T52" s="109"/>
      <c r="U52" s="109"/>
      <c r="V52" s="168"/>
      <c r="W52" s="109"/>
      <c r="X52" s="109"/>
      <c r="Y52" s="109"/>
      <c r="Z52" s="109"/>
      <c r="AA52" s="168"/>
      <c r="AB52" s="109"/>
      <c r="AC52" s="109"/>
      <c r="AD52" s="109"/>
      <c r="AE52" s="109"/>
    </row>
    <row r="53" spans="1:37" x14ac:dyDescent="0.25">
      <c r="A53" s="30" t="s">
        <v>137</v>
      </c>
      <c r="X53" s="110"/>
      <c r="Y53" s="110"/>
      <c r="Z53" s="110"/>
      <c r="AA53" s="173"/>
      <c r="AB53" s="110"/>
      <c r="AC53" s="110"/>
      <c r="AD53" s="110"/>
      <c r="AE53" s="110"/>
    </row>
    <row r="54" spans="1:37" x14ac:dyDescent="0.25">
      <c r="AE54" s="55"/>
    </row>
    <row r="55" spans="1:37" x14ac:dyDescent="0.25">
      <c r="A55" s="235" t="s">
        <v>158</v>
      </c>
      <c r="C55" s="3"/>
      <c r="D55" s="3"/>
      <c r="E55" s="3"/>
      <c r="F55" s="3"/>
      <c r="G55" s="176"/>
      <c r="H55" s="3"/>
      <c r="I55" s="3"/>
      <c r="J55" s="3"/>
      <c r="K55" s="3"/>
      <c r="L55" s="176"/>
      <c r="M55" s="3"/>
      <c r="N55" s="3"/>
      <c r="O55" s="3"/>
      <c r="P55" s="3"/>
      <c r="Q55" s="176"/>
      <c r="R55" s="3"/>
      <c r="S55" s="3"/>
      <c r="T55" s="3"/>
      <c r="U55" s="3"/>
      <c r="V55" s="176"/>
      <c r="W55" s="3"/>
      <c r="X55" s="3"/>
      <c r="Y55" s="3"/>
      <c r="Z55" s="3"/>
      <c r="AA55" s="176"/>
      <c r="AB55" s="3"/>
      <c r="AC55" s="3"/>
      <c r="AD55" s="3"/>
      <c r="AE55" s="236"/>
      <c r="AF55" s="176"/>
      <c r="AG55" s="3"/>
      <c r="AH55" s="3"/>
      <c r="AI55" s="3"/>
      <c r="AJ55" s="3"/>
      <c r="AK55" s="176"/>
    </row>
    <row r="56" spans="1:37" x14ac:dyDescent="0.25">
      <c r="A56" s="208" t="s">
        <v>159</v>
      </c>
      <c r="C56" s="256">
        <v>6549</v>
      </c>
      <c r="D56" s="256">
        <v>5721</v>
      </c>
      <c r="E56" s="256">
        <v>6104</v>
      </c>
      <c r="F56" s="256">
        <v>6479</v>
      </c>
      <c r="G56" s="257"/>
      <c r="H56" s="256">
        <v>7438</v>
      </c>
      <c r="I56" s="256">
        <v>6759</v>
      </c>
      <c r="J56" s="256">
        <v>7421</v>
      </c>
      <c r="K56" s="256">
        <v>7235</v>
      </c>
      <c r="L56" s="257"/>
      <c r="M56" s="256">
        <v>6519</v>
      </c>
      <c r="N56" s="256">
        <v>6353</v>
      </c>
      <c r="O56" s="256">
        <v>5767</v>
      </c>
      <c r="P56" s="256">
        <v>7572</v>
      </c>
      <c r="Q56" s="257"/>
      <c r="R56" s="256">
        <v>10794</v>
      </c>
      <c r="S56" s="256">
        <v>11724</v>
      </c>
      <c r="T56" s="256">
        <v>10811</v>
      </c>
      <c r="U56" s="256">
        <v>10699</v>
      </c>
      <c r="V56" s="257"/>
      <c r="W56" s="256">
        <v>7832</v>
      </c>
      <c r="X56" s="256">
        <v>6802</v>
      </c>
      <c r="Y56" s="256">
        <v>6992</v>
      </c>
      <c r="Z56" s="256">
        <v>8007</v>
      </c>
      <c r="AA56" s="257"/>
      <c r="AB56" s="256">
        <v>7328</v>
      </c>
      <c r="AC56" s="256">
        <v>6505</v>
      </c>
      <c r="AD56" s="256">
        <v>8219</v>
      </c>
      <c r="AE56" s="256">
        <f>7008+589</f>
        <v>7597</v>
      </c>
      <c r="AF56" s="258"/>
      <c r="AG56" s="255">
        <f>AG109-SUM(AG57:AG58,AG60,AG62:AG63,AG68:AG74)</f>
        <v>7531.9948277766016</v>
      </c>
      <c r="AH56" s="255">
        <f t="shared" ref="AH56:AJ56" si="69">AH109-SUM(AH57:AH58,AH60,AH62:AH63,AH68:AH74)</f>
        <v>7985.1404087521223</v>
      </c>
      <c r="AI56" s="255">
        <f t="shared" si="69"/>
        <v>8704.8795490998309</v>
      </c>
      <c r="AJ56" s="255">
        <f t="shared" si="69"/>
        <v>9406.0626460518542</v>
      </c>
      <c r="AK56" s="215"/>
    </row>
    <row r="57" spans="1:37" x14ac:dyDescent="0.25">
      <c r="A57" s="209" t="s">
        <v>184</v>
      </c>
      <c r="C57" s="256">
        <v>1654</v>
      </c>
      <c r="D57" s="256">
        <v>1782</v>
      </c>
      <c r="E57" s="256">
        <v>1864</v>
      </c>
      <c r="F57" s="256">
        <v>1849</v>
      </c>
      <c r="G57" s="257"/>
      <c r="H57" s="256">
        <v>1378</v>
      </c>
      <c r="I57" s="256">
        <v>1535</v>
      </c>
      <c r="J57" s="256">
        <v>1622</v>
      </c>
      <c r="K57" s="256">
        <v>1696</v>
      </c>
      <c r="L57" s="257"/>
      <c r="M57" s="256">
        <v>1317</v>
      </c>
      <c r="N57" s="256">
        <v>809</v>
      </c>
      <c r="O57" s="256">
        <v>751</v>
      </c>
      <c r="P57" s="256">
        <v>688</v>
      </c>
      <c r="Q57" s="257"/>
      <c r="R57" s="256">
        <v>477</v>
      </c>
      <c r="S57" s="256">
        <v>390</v>
      </c>
      <c r="T57" s="256">
        <v>400</v>
      </c>
      <c r="U57" s="256">
        <v>483</v>
      </c>
      <c r="V57" s="257"/>
      <c r="W57" s="256">
        <v>489</v>
      </c>
      <c r="X57" s="256">
        <v>544</v>
      </c>
      <c r="Y57" s="256">
        <v>510</v>
      </c>
      <c r="Z57" s="256">
        <v>473</v>
      </c>
      <c r="AA57" s="257"/>
      <c r="AB57" s="256">
        <v>585</v>
      </c>
      <c r="AC57" s="256">
        <v>438</v>
      </c>
      <c r="AD57" s="256">
        <v>412</v>
      </c>
      <c r="AE57" s="256">
        <v>400</v>
      </c>
      <c r="AF57" s="258"/>
      <c r="AG57" s="255">
        <f>AE57</f>
        <v>400</v>
      </c>
      <c r="AH57" s="255">
        <f>AG57</f>
        <v>400</v>
      </c>
      <c r="AI57" s="255">
        <f t="shared" ref="AI57:AJ57" si="70">AH57</f>
        <v>400</v>
      </c>
      <c r="AJ57" s="255">
        <f t="shared" si="70"/>
        <v>400</v>
      </c>
      <c r="AK57" s="215"/>
    </row>
    <row r="58" spans="1:37" x14ac:dyDescent="0.25">
      <c r="A58" s="209" t="s">
        <v>160</v>
      </c>
      <c r="C58" s="256">
        <v>1553</v>
      </c>
      <c r="D58" s="256">
        <v>1708</v>
      </c>
      <c r="E58" s="256">
        <v>1858</v>
      </c>
      <c r="F58" s="256">
        <v>1969</v>
      </c>
      <c r="G58" s="257"/>
      <c r="H58" s="256">
        <v>2122</v>
      </c>
      <c r="I58" s="256">
        <v>2164</v>
      </c>
      <c r="J58" s="256">
        <v>2277</v>
      </c>
      <c r="K58" s="256">
        <v>2276</v>
      </c>
      <c r="L58" s="257"/>
      <c r="M58" s="256">
        <v>2577</v>
      </c>
      <c r="N58" s="256">
        <v>2607</v>
      </c>
      <c r="O58" s="256">
        <v>2500</v>
      </c>
      <c r="P58" s="256">
        <v>2514</v>
      </c>
      <c r="Q58" s="257"/>
      <c r="R58" s="256">
        <v>2441</v>
      </c>
      <c r="S58" s="256">
        <v>2147</v>
      </c>
      <c r="T58" s="256">
        <v>2357</v>
      </c>
      <c r="U58" s="256">
        <v>2646</v>
      </c>
      <c r="V58" s="257"/>
      <c r="W58" s="256">
        <v>2648</v>
      </c>
      <c r="X58" s="256">
        <v>2773</v>
      </c>
      <c r="Y58" s="256">
        <v>2820</v>
      </c>
      <c r="Z58" s="256">
        <v>3006</v>
      </c>
      <c r="AA58" s="257"/>
      <c r="AB58" s="256">
        <v>2889</v>
      </c>
      <c r="AC58" s="256">
        <v>3175</v>
      </c>
      <c r="AD58" s="256">
        <v>3167</v>
      </c>
      <c r="AE58" s="256">
        <v>3425</v>
      </c>
      <c r="AF58" s="258"/>
      <c r="AG58" s="255">
        <f>AG59*4*AG11/365</f>
        <v>3164.3639830067682</v>
      </c>
      <c r="AH58" s="255">
        <f t="shared" ref="AH58:AJ58" si="71">AH59*4*AH11/365</f>
        <v>3585.4033376826524</v>
      </c>
      <c r="AI58" s="255">
        <f t="shared" si="71"/>
        <v>3677.3227824474347</v>
      </c>
      <c r="AJ58" s="255">
        <f t="shared" si="71"/>
        <v>3710.3807287268519</v>
      </c>
      <c r="AK58" s="215"/>
    </row>
    <row r="59" spans="1:37" x14ac:dyDescent="0.25">
      <c r="A59" s="230" t="s">
        <v>161</v>
      </c>
      <c r="C59" s="223">
        <f>365/(C11*4/C58)</f>
        <v>51.832937088514996</v>
      </c>
      <c r="D59" s="223">
        <f t="shared" ref="D59:AE59" si="72">365/(D11*4/D58)</f>
        <v>51.049787094660985</v>
      </c>
      <c r="E59" s="223">
        <f t="shared" si="72"/>
        <v>49.894791053560922</v>
      </c>
      <c r="F59" s="223">
        <f t="shared" si="72"/>
        <v>54.248565821256037</v>
      </c>
      <c r="G59" s="224"/>
      <c r="H59" s="223">
        <f t="shared" si="72"/>
        <v>54.087290502793302</v>
      </c>
      <c r="I59" s="223">
        <f t="shared" si="72"/>
        <v>53.878581173260571</v>
      </c>
      <c r="J59" s="223">
        <f t="shared" si="72"/>
        <v>53.303296562339661</v>
      </c>
      <c r="K59" s="223">
        <f t="shared" si="72"/>
        <v>54.553454163383243</v>
      </c>
      <c r="L59" s="224"/>
      <c r="M59" s="223">
        <f t="shared" si="72"/>
        <v>60.465736693237332</v>
      </c>
      <c r="N59" s="223">
        <f t="shared" si="72"/>
        <v>57.838256746900072</v>
      </c>
      <c r="O59" s="223">
        <f t="shared" si="72"/>
        <v>51.068950078352366</v>
      </c>
      <c r="P59" s="223">
        <f t="shared" si="72"/>
        <v>51.971567739012237</v>
      </c>
      <c r="Q59" s="224"/>
      <c r="R59" s="223">
        <f t="shared" si="72"/>
        <v>55.560301820902971</v>
      </c>
      <c r="S59" s="223">
        <f t="shared" si="72"/>
        <v>58.744752623688157</v>
      </c>
      <c r="T59" s="223">
        <f t="shared" si="72"/>
        <v>56.053231691425594</v>
      </c>
      <c r="U59" s="223">
        <f t="shared" si="72"/>
        <v>58.603762135922331</v>
      </c>
      <c r="V59" s="224"/>
      <c r="W59" s="223">
        <f t="shared" si="72"/>
        <v>58.154031287605299</v>
      </c>
      <c r="X59" s="223">
        <f t="shared" si="72"/>
        <v>55.882564045936398</v>
      </c>
      <c r="Y59" s="223">
        <f t="shared" si="72"/>
        <v>51.619859578736211</v>
      </c>
      <c r="Z59" s="223">
        <f t="shared" si="72"/>
        <v>52.587710889570552</v>
      </c>
      <c r="AA59" s="224"/>
      <c r="AB59" s="223">
        <f t="shared" si="72"/>
        <v>51.318133151644929</v>
      </c>
      <c r="AC59" s="223">
        <f t="shared" si="72"/>
        <v>52.762474959023855</v>
      </c>
      <c r="AD59" s="223">
        <f t="shared" si="72"/>
        <v>50.206523627519111</v>
      </c>
      <c r="AE59" s="223">
        <f t="shared" si="72"/>
        <v>53.727221935705685</v>
      </c>
      <c r="AF59" s="177"/>
      <c r="AG59" s="55">
        <v>53</v>
      </c>
      <c r="AH59" s="55">
        <v>53.5</v>
      </c>
      <c r="AI59" s="55">
        <v>51.3</v>
      </c>
      <c r="AJ59" s="55">
        <v>52.8</v>
      </c>
      <c r="AK59" s="177"/>
    </row>
    <row r="60" spans="1:37" x14ac:dyDescent="0.25">
      <c r="A60" s="209" t="s">
        <v>162</v>
      </c>
      <c r="C60" s="253">
        <v>1085</v>
      </c>
      <c r="D60" s="253">
        <v>1271</v>
      </c>
      <c r="E60" s="253">
        <v>1199</v>
      </c>
      <c r="F60" s="253">
        <v>1375</v>
      </c>
      <c r="G60" s="254"/>
      <c r="H60" s="253">
        <v>1531</v>
      </c>
      <c r="I60" s="253">
        <v>1532</v>
      </c>
      <c r="J60" s="253">
        <v>1335</v>
      </c>
      <c r="K60" s="253">
        <v>2452</v>
      </c>
      <c r="L60" s="254"/>
      <c r="M60" s="253">
        <v>1426</v>
      </c>
      <c r="N60" s="253">
        <v>1549</v>
      </c>
      <c r="O60" s="253">
        <v>2723</v>
      </c>
      <c r="P60" s="253">
        <v>2995</v>
      </c>
      <c r="Q60" s="254"/>
      <c r="R60" s="253">
        <v>1164</v>
      </c>
      <c r="S60" s="253">
        <v>1782</v>
      </c>
      <c r="T60" s="253">
        <v>1375</v>
      </c>
      <c r="U60" s="253">
        <v>1706</v>
      </c>
      <c r="V60" s="254"/>
      <c r="W60" s="253">
        <v>1678</v>
      </c>
      <c r="X60" s="253">
        <v>937</v>
      </c>
      <c r="Y60" s="253">
        <v>861</v>
      </c>
      <c r="Z60" s="253">
        <v>1319</v>
      </c>
      <c r="AA60" s="254"/>
      <c r="AB60" s="253">
        <v>1101</v>
      </c>
      <c r="AC60" s="253">
        <v>1063</v>
      </c>
      <c r="AD60" s="253">
        <v>1019</v>
      </c>
      <c r="AE60" s="253">
        <v>1270</v>
      </c>
      <c r="AF60" s="259"/>
      <c r="AG60" s="255">
        <f>AG61*AG11</f>
        <v>1906.827824665635</v>
      </c>
      <c r="AH60" s="255">
        <f t="shared" ref="AH60:AJ60" si="73">AH61*AH11</f>
        <v>2140.3517588269101</v>
      </c>
      <c r="AI60" s="255">
        <f t="shared" si="73"/>
        <v>2289.3664008657884</v>
      </c>
      <c r="AJ60" s="255">
        <f t="shared" si="73"/>
        <v>2244.3235705248831</v>
      </c>
      <c r="AK60" s="177"/>
    </row>
    <row r="61" spans="1:37" x14ac:dyDescent="0.25">
      <c r="A61" s="229" t="s">
        <v>82</v>
      </c>
      <c r="C61" s="225">
        <f>C60/C11</f>
        <v>0.39685442574981711</v>
      </c>
      <c r="D61" s="225">
        <f t="shared" ref="D61:F61" si="74">D60/D11</f>
        <v>0.41631182443498199</v>
      </c>
      <c r="E61" s="225">
        <f t="shared" si="74"/>
        <v>0.35285462036492055</v>
      </c>
      <c r="F61" s="225">
        <f t="shared" si="74"/>
        <v>0.41515700483091789</v>
      </c>
      <c r="G61" s="254"/>
      <c r="H61" s="225">
        <f>H60/H11</f>
        <v>0.42765363128491618</v>
      </c>
      <c r="I61" s="225">
        <f t="shared" ref="I61" si="75">I60/I11</f>
        <v>0.41800818553888131</v>
      </c>
      <c r="J61" s="225">
        <f t="shared" ref="J61" si="76">J60/J11</f>
        <v>0.34248332478193944</v>
      </c>
      <c r="K61" s="225">
        <f t="shared" ref="K61" si="77">K60/K11</f>
        <v>0.64407670081428947</v>
      </c>
      <c r="L61" s="254"/>
      <c r="M61" s="225">
        <f>M60/M11</f>
        <v>0.36667523785034711</v>
      </c>
      <c r="N61" s="225">
        <f t="shared" ref="N61" si="78">N60/N11</f>
        <v>0.37661074641380987</v>
      </c>
      <c r="O61" s="225">
        <f t="shared" ref="O61" si="79">O60/O11</f>
        <v>0.60958137452428918</v>
      </c>
      <c r="P61" s="225">
        <f t="shared" ref="P61" si="80">P60/P11</f>
        <v>0.67852288173991848</v>
      </c>
      <c r="Q61" s="254"/>
      <c r="R61" s="225">
        <f>R60/R11</f>
        <v>0.29034671988026939</v>
      </c>
      <c r="S61" s="225">
        <f t="shared" ref="S61" si="81">S60/S11</f>
        <v>0.53433283358320838</v>
      </c>
      <c r="T61" s="225">
        <f t="shared" ref="T61" si="82">T60/T11</f>
        <v>0.35835287985405262</v>
      </c>
      <c r="U61" s="225">
        <f t="shared" ref="U61" si="83">U60/U11</f>
        <v>0.41407766990291262</v>
      </c>
      <c r="V61" s="254"/>
      <c r="W61" s="225">
        <f>W60/W11</f>
        <v>0.40385078219013237</v>
      </c>
      <c r="X61" s="225">
        <f t="shared" ref="X61" si="84">X60/X11</f>
        <v>0.20693462897526502</v>
      </c>
      <c r="Y61" s="225">
        <f t="shared" ref="Y61" si="85">Y60/Y11</f>
        <v>0.17271815446339017</v>
      </c>
      <c r="Z61" s="225">
        <f t="shared" ref="Z61" si="86">Z60/Z11</f>
        <v>0.25287576687116564</v>
      </c>
      <c r="AA61" s="254"/>
      <c r="AB61" s="225">
        <f>AB60/AB11</f>
        <v>0.21432742846019076</v>
      </c>
      <c r="AC61" s="225">
        <f t="shared" ref="AC61" si="87">AC60/AC11</f>
        <v>0.19358951010744854</v>
      </c>
      <c r="AD61" s="225">
        <f t="shared" ref="AD61:AE61" si="88">AD60/AD11</f>
        <v>0.1770326615705351</v>
      </c>
      <c r="AE61" s="225">
        <f t="shared" si="88"/>
        <v>0.21832559738696922</v>
      </c>
      <c r="AF61" s="259"/>
      <c r="AG61" s="227">
        <v>0.35</v>
      </c>
      <c r="AH61" s="227">
        <v>0.35</v>
      </c>
      <c r="AI61" s="227">
        <v>0.35</v>
      </c>
      <c r="AJ61" s="227">
        <v>0.35</v>
      </c>
      <c r="AK61" s="177"/>
    </row>
    <row r="62" spans="1:37" x14ac:dyDescent="0.25">
      <c r="A62" s="209" t="s">
        <v>163</v>
      </c>
      <c r="C62" s="253">
        <v>984</v>
      </c>
      <c r="D62" s="253">
        <v>993</v>
      </c>
      <c r="E62" s="253">
        <v>1026</v>
      </c>
      <c r="F62" s="253">
        <v>1085</v>
      </c>
      <c r="G62" s="254"/>
      <c r="H62" s="253">
        <v>965</v>
      </c>
      <c r="I62" s="253">
        <v>992</v>
      </c>
      <c r="J62" s="253">
        <v>1034</v>
      </c>
      <c r="K62" s="253">
        <v>1080</v>
      </c>
      <c r="L62" s="254"/>
      <c r="M62" s="253">
        <v>1044</v>
      </c>
      <c r="N62" s="253">
        <v>1061</v>
      </c>
      <c r="O62" s="253">
        <v>1173</v>
      </c>
      <c r="P62" s="253">
        <v>1370</v>
      </c>
      <c r="Q62" s="254"/>
      <c r="R62" s="253">
        <v>1518</v>
      </c>
      <c r="S62" s="253">
        <v>1548</v>
      </c>
      <c r="T62" s="253">
        <v>1568</v>
      </c>
      <c r="U62" s="253">
        <v>1696</v>
      </c>
      <c r="V62" s="254"/>
      <c r="W62" s="253">
        <v>1759</v>
      </c>
      <c r="X62" s="253">
        <v>1806</v>
      </c>
      <c r="Y62" s="253">
        <v>1832</v>
      </c>
      <c r="Z62" s="253">
        <v>1873</v>
      </c>
      <c r="AA62" s="254"/>
      <c r="AB62" s="253">
        <v>1730</v>
      </c>
      <c r="AC62" s="253">
        <v>1621</v>
      </c>
      <c r="AD62" s="253">
        <v>1531</v>
      </c>
      <c r="AE62" s="253">
        <v>1568</v>
      </c>
      <c r="AF62" s="259"/>
      <c r="AG62" s="255">
        <v>1600</v>
      </c>
      <c r="AH62" s="255">
        <v>1600</v>
      </c>
      <c r="AI62" s="255">
        <v>1600</v>
      </c>
      <c r="AJ62" s="255">
        <v>1600</v>
      </c>
      <c r="AK62" s="177"/>
    </row>
    <row r="63" spans="1:37" x14ac:dyDescent="0.25">
      <c r="A63" s="209" t="s">
        <v>164</v>
      </c>
      <c r="C63" s="253">
        <v>1060</v>
      </c>
      <c r="D63" s="253">
        <v>1067</v>
      </c>
      <c r="E63" s="253">
        <v>1180</v>
      </c>
      <c r="F63" s="253">
        <v>1040</v>
      </c>
      <c r="G63" s="254"/>
      <c r="H63" s="253">
        <v>1273</v>
      </c>
      <c r="I63" s="253">
        <v>1323</v>
      </c>
      <c r="J63" s="253">
        <v>1375</v>
      </c>
      <c r="K63" s="253">
        <v>1432</v>
      </c>
      <c r="L63" s="254"/>
      <c r="M63" s="253">
        <v>1513</v>
      </c>
      <c r="N63" s="253">
        <v>1786</v>
      </c>
      <c r="O63" s="253">
        <v>1933</v>
      </c>
      <c r="P63" s="253">
        <v>1763</v>
      </c>
      <c r="Q63" s="254"/>
      <c r="R63" s="253">
        <v>1729</v>
      </c>
      <c r="S63" s="253">
        <v>1790</v>
      </c>
      <c r="T63" s="253">
        <v>1958</v>
      </c>
      <c r="U63" s="253">
        <v>1883</v>
      </c>
      <c r="V63" s="254"/>
      <c r="W63" s="253">
        <v>1999</v>
      </c>
      <c r="X63" s="253">
        <v>2217</v>
      </c>
      <c r="Y63" s="253">
        <v>2367</v>
      </c>
      <c r="Z63" s="253">
        <v>2271</v>
      </c>
      <c r="AA63" s="254"/>
      <c r="AB63" s="253">
        <v>2320</v>
      </c>
      <c r="AC63" s="253">
        <v>2409</v>
      </c>
      <c r="AD63" s="253">
        <v>2475</v>
      </c>
      <c r="AE63" s="253">
        <v>2346</v>
      </c>
      <c r="AF63" s="259"/>
      <c r="AG63" s="255">
        <f>AG64*AG11</f>
        <v>2288.1933895987622</v>
      </c>
      <c r="AH63" s="255">
        <f t="shared" ref="AH63:AJ63" si="89">AH64*AH11</f>
        <v>2568.4221105922925</v>
      </c>
      <c r="AI63" s="255">
        <f t="shared" si="89"/>
        <v>2747.2396810389459</v>
      </c>
      <c r="AJ63" s="255">
        <f t="shared" si="89"/>
        <v>2693.1882846298599</v>
      </c>
      <c r="AK63" s="177"/>
    </row>
    <row r="64" spans="1:37" s="41" customFormat="1" x14ac:dyDescent="0.25">
      <c r="A64" s="229" t="s">
        <v>82</v>
      </c>
      <c r="C64" s="225">
        <f>C63/C11</f>
        <v>0.387710314557425</v>
      </c>
      <c r="D64" s="225">
        <f t="shared" ref="D64:AE64" si="90">D63/D11</f>
        <v>0.34949230265312808</v>
      </c>
      <c r="E64" s="225">
        <f t="shared" si="90"/>
        <v>0.34726309593878751</v>
      </c>
      <c r="F64" s="225">
        <f t="shared" si="90"/>
        <v>0.3140096618357488</v>
      </c>
      <c r="G64" s="226"/>
      <c r="H64" s="225">
        <f t="shared" si="90"/>
        <v>0.35558659217877098</v>
      </c>
      <c r="I64" s="225">
        <f t="shared" si="90"/>
        <v>0.36098226466575717</v>
      </c>
      <c r="J64" s="225">
        <f t="shared" si="90"/>
        <v>0.35274499743458182</v>
      </c>
      <c r="K64" s="225">
        <f t="shared" si="90"/>
        <v>0.37614919884423431</v>
      </c>
      <c r="L64" s="226"/>
      <c r="M64" s="225">
        <f t="shared" si="90"/>
        <v>0.38904602725636411</v>
      </c>
      <c r="N64" s="225">
        <f t="shared" si="90"/>
        <v>0.43423292000972524</v>
      </c>
      <c r="O64" s="225">
        <f t="shared" si="90"/>
        <v>0.4327289008282964</v>
      </c>
      <c r="P64" s="225">
        <f t="shared" si="90"/>
        <v>0.39941096511101043</v>
      </c>
      <c r="Q64" s="226"/>
      <c r="R64" s="225">
        <f t="shared" si="90"/>
        <v>0.43127962085308058</v>
      </c>
      <c r="S64" s="225">
        <f t="shared" si="90"/>
        <v>0.53673163418290859</v>
      </c>
      <c r="T64" s="225">
        <f t="shared" si="90"/>
        <v>0.51029450091217099</v>
      </c>
      <c r="U64" s="225">
        <f t="shared" si="90"/>
        <v>0.45703883495145631</v>
      </c>
      <c r="V64" s="226"/>
      <c r="W64" s="225">
        <f t="shared" si="90"/>
        <v>0.48110709987966305</v>
      </c>
      <c r="X64" s="225">
        <f t="shared" si="90"/>
        <v>0.48962014134275617</v>
      </c>
      <c r="Y64" s="225">
        <f t="shared" si="90"/>
        <v>0.4748244734202608</v>
      </c>
      <c r="Z64" s="225">
        <f t="shared" si="90"/>
        <v>0.43539110429447853</v>
      </c>
      <c r="AA64" s="226"/>
      <c r="AB64" s="225">
        <f t="shared" si="90"/>
        <v>0.45162546233210044</v>
      </c>
      <c r="AC64" s="225">
        <f t="shared" si="90"/>
        <v>0.43871790202148969</v>
      </c>
      <c r="AD64" s="225">
        <f t="shared" si="90"/>
        <v>0.42998610145934679</v>
      </c>
      <c r="AE64" s="225">
        <f t="shared" si="90"/>
        <v>0.40330067044868489</v>
      </c>
      <c r="AF64" s="228"/>
      <c r="AG64" s="227">
        <v>0.42</v>
      </c>
      <c r="AH64" s="227">
        <v>0.42</v>
      </c>
      <c r="AI64" s="227">
        <v>0.42</v>
      </c>
      <c r="AJ64" s="227">
        <v>0.42</v>
      </c>
      <c r="AK64" s="228"/>
    </row>
    <row r="65" spans="1:37" x14ac:dyDescent="0.25">
      <c r="A65" s="209" t="s">
        <v>165</v>
      </c>
      <c r="C65" s="214">
        <v>0</v>
      </c>
      <c r="D65" s="214">
        <v>0</v>
      </c>
      <c r="E65" s="214">
        <v>0</v>
      </c>
      <c r="F65" s="214">
        <v>0</v>
      </c>
      <c r="H65" s="214">
        <v>0</v>
      </c>
      <c r="I65" s="214">
        <v>0</v>
      </c>
      <c r="J65" s="214">
        <v>0</v>
      </c>
      <c r="K65" s="214">
        <v>0</v>
      </c>
      <c r="M65" s="214">
        <v>0</v>
      </c>
      <c r="N65" s="214">
        <v>0</v>
      </c>
      <c r="O65" s="214">
        <v>0</v>
      </c>
      <c r="P65" s="214">
        <v>0</v>
      </c>
      <c r="R65" s="214">
        <v>0</v>
      </c>
      <c r="S65" s="214">
        <v>0</v>
      </c>
      <c r="T65" s="214">
        <v>0</v>
      </c>
      <c r="U65" s="214">
        <v>0</v>
      </c>
      <c r="W65" s="214">
        <v>0</v>
      </c>
      <c r="X65" s="214">
        <v>0</v>
      </c>
      <c r="Y65" s="214">
        <v>0</v>
      </c>
      <c r="Z65" s="214">
        <v>0</v>
      </c>
      <c r="AB65" s="214">
        <v>0</v>
      </c>
      <c r="AC65" s="214">
        <v>0</v>
      </c>
      <c r="AD65" s="214">
        <v>0</v>
      </c>
      <c r="AE65" s="214">
        <v>0</v>
      </c>
      <c r="AF65" s="177"/>
      <c r="AG65" s="55">
        <v>0</v>
      </c>
      <c r="AH65" s="55">
        <v>0</v>
      </c>
      <c r="AI65" s="55">
        <v>0</v>
      </c>
      <c r="AJ65" s="55">
        <v>0</v>
      </c>
      <c r="AK65" s="177"/>
    </row>
    <row r="66" spans="1:37" x14ac:dyDescent="0.25">
      <c r="A66" s="216" t="s">
        <v>166</v>
      </c>
      <c r="C66" s="263">
        <f>SUM(C56:C58,C62:C63,C60,C65)</f>
        <v>12885</v>
      </c>
      <c r="D66" s="263">
        <f t="shared" ref="D66:F66" si="91">SUM(D56:D58,D62:D63,D60,D65)</f>
        <v>12542</v>
      </c>
      <c r="E66" s="263">
        <f t="shared" si="91"/>
        <v>13231</v>
      </c>
      <c r="F66" s="263">
        <f t="shared" si="91"/>
        <v>13797</v>
      </c>
      <c r="G66" s="264"/>
      <c r="H66" s="263">
        <f>SUM(H56:H58,H62:H63,H60,H65)</f>
        <v>14707</v>
      </c>
      <c r="I66" s="263">
        <f t="shared" ref="I66" si="92">SUM(I56:I58,I62:I63,I60,I65)</f>
        <v>14305</v>
      </c>
      <c r="J66" s="263">
        <f t="shared" ref="J66" si="93">SUM(J56:J58,J62:J63,J60,J65)</f>
        <v>15064</v>
      </c>
      <c r="K66" s="263">
        <f t="shared" ref="K66" si="94">SUM(K56:K58,K62:K63,K60,K65)</f>
        <v>16171</v>
      </c>
      <c r="L66" s="264"/>
      <c r="M66" s="263">
        <f>SUM(M56:M58,M62:M63,M60,M65)</f>
        <v>14396</v>
      </c>
      <c r="N66" s="263">
        <f t="shared" ref="N66" si="95">SUM(N56:N58,N62:N63,N60,N65)</f>
        <v>14165</v>
      </c>
      <c r="O66" s="263">
        <f t="shared" ref="O66" si="96">SUM(O56:O58,O62:O63,O60,O65)</f>
        <v>14847</v>
      </c>
      <c r="P66" s="263">
        <f t="shared" ref="P66" si="97">SUM(P56:P58,P62:P63,P60,P65)</f>
        <v>16902</v>
      </c>
      <c r="Q66" s="264"/>
      <c r="R66" s="263">
        <f>SUM(R56:R58,R62:R63,R60,R65)</f>
        <v>18123</v>
      </c>
      <c r="S66" s="263">
        <f t="shared" ref="S66" si="98">SUM(S56:S58,S62:S63,S60,S65)</f>
        <v>19381</v>
      </c>
      <c r="T66" s="263">
        <f t="shared" ref="T66" si="99">SUM(T56:T58,T62:T63,T60,T65)</f>
        <v>18469</v>
      </c>
      <c r="U66" s="263">
        <f t="shared" ref="U66" si="100">SUM(U56:U58,U62:U63,U60,U65)</f>
        <v>19113</v>
      </c>
      <c r="V66" s="264"/>
      <c r="W66" s="263">
        <f>SUM(W56:W58,W62:W63,W60,W65)</f>
        <v>16405</v>
      </c>
      <c r="X66" s="263">
        <f t="shared" ref="X66" si="101">SUM(X56:X58,X62:X63,X60,X65)</f>
        <v>15079</v>
      </c>
      <c r="Y66" s="263">
        <f t="shared" ref="Y66" si="102">SUM(Y56:Y58,Y62:Y63,Y60,Y65)</f>
        <v>15382</v>
      </c>
      <c r="Z66" s="263">
        <f t="shared" ref="Z66:AC66" si="103">SUM(Z56:Z58,Z62:Z63,Z60,Z65)</f>
        <v>16949</v>
      </c>
      <c r="AA66" s="262"/>
      <c r="AB66" s="263">
        <f t="shared" si="103"/>
        <v>15953</v>
      </c>
      <c r="AC66" s="263">
        <f t="shared" si="103"/>
        <v>15211</v>
      </c>
      <c r="AD66" s="263">
        <f>SUM(AD56:AD58,AD62:AD63,AD60,AD65)</f>
        <v>16823</v>
      </c>
      <c r="AE66" s="263">
        <f>SUM(AE56:AE58,AE62:AE63,AE60,AE65)</f>
        <v>16606</v>
      </c>
      <c r="AF66" s="222"/>
      <c r="AG66" s="331">
        <f>SUM(AG56:AG58,AG62:AG63,AG60,AG65)</f>
        <v>16891.380025047765</v>
      </c>
      <c r="AH66" s="331">
        <f t="shared" ref="AH66:AJ66" si="104">SUM(AH56:AH58,AH62:AH63,AH60,AH65)</f>
        <v>18279.317615853975</v>
      </c>
      <c r="AI66" s="331">
        <f t="shared" si="104"/>
        <v>19418.808413452</v>
      </c>
      <c r="AJ66" s="331">
        <f t="shared" si="104"/>
        <v>20053.95522993345</v>
      </c>
      <c r="AK66" s="222"/>
    </row>
    <row r="67" spans="1:37" x14ac:dyDescent="0.25">
      <c r="A67" s="207"/>
      <c r="C67" s="253"/>
      <c r="D67" s="253"/>
      <c r="E67" s="253"/>
      <c r="F67" s="253"/>
      <c r="G67" s="254"/>
      <c r="H67" s="253"/>
      <c r="I67" s="253"/>
      <c r="J67" s="253"/>
      <c r="K67" s="253"/>
      <c r="L67" s="254"/>
      <c r="M67" s="253"/>
      <c r="N67" s="253"/>
      <c r="O67" s="253"/>
      <c r="P67" s="253"/>
      <c r="Q67" s="254"/>
      <c r="R67" s="253"/>
      <c r="S67" s="253"/>
      <c r="T67" s="253"/>
      <c r="U67" s="253"/>
      <c r="V67" s="254"/>
      <c r="W67" s="253"/>
      <c r="X67" s="253"/>
      <c r="Y67" s="253"/>
      <c r="Z67" s="253"/>
      <c r="AE67" s="55"/>
      <c r="AF67" s="177"/>
      <c r="AG67" s="55"/>
      <c r="AH67" s="55"/>
      <c r="AI67" s="55"/>
      <c r="AJ67" s="55"/>
      <c r="AK67" s="177"/>
    </row>
    <row r="68" spans="1:37" x14ac:dyDescent="0.25">
      <c r="A68" s="210" t="s">
        <v>167</v>
      </c>
      <c r="C68" s="253">
        <v>748</v>
      </c>
      <c r="D68" s="253">
        <v>845</v>
      </c>
      <c r="E68" s="253">
        <v>901</v>
      </c>
      <c r="F68" s="253">
        <v>829</v>
      </c>
      <c r="G68" s="254"/>
      <c r="H68" s="253">
        <v>839</v>
      </c>
      <c r="I68" s="253">
        <v>860</v>
      </c>
      <c r="J68" s="253">
        <v>876</v>
      </c>
      <c r="K68" s="253">
        <v>921</v>
      </c>
      <c r="L68" s="254"/>
      <c r="M68" s="253">
        <v>1305</v>
      </c>
      <c r="N68" s="253">
        <v>1348</v>
      </c>
      <c r="O68" s="253">
        <v>1492</v>
      </c>
      <c r="P68" s="253">
        <v>1828</v>
      </c>
      <c r="Q68" s="254"/>
      <c r="R68" s="253">
        <v>1901</v>
      </c>
      <c r="S68" s="253">
        <v>1872</v>
      </c>
      <c r="T68" s="253">
        <v>1887</v>
      </c>
      <c r="U68" s="253">
        <v>1902</v>
      </c>
      <c r="V68" s="254"/>
      <c r="W68" s="253">
        <v>1850</v>
      </c>
      <c r="X68" s="253">
        <v>1839</v>
      </c>
      <c r="Y68" s="253">
        <v>1860</v>
      </c>
      <c r="Z68" s="253">
        <v>1907</v>
      </c>
      <c r="AA68" s="254"/>
      <c r="AB68" s="253">
        <v>1957</v>
      </c>
      <c r="AC68" s="253">
        <v>1950</v>
      </c>
      <c r="AD68" s="253">
        <v>1951</v>
      </c>
      <c r="AE68" s="253">
        <v>2006</v>
      </c>
      <c r="AF68" s="259"/>
      <c r="AG68" s="255">
        <f>AE68+AG150-AG154/2</f>
        <v>1846.5119749522335</v>
      </c>
      <c r="AH68" s="255">
        <f>AG68+AH150-AH154/2</f>
        <v>2073.0983841460229</v>
      </c>
      <c r="AI68" s="255">
        <f>AH68+AI150-AI154/2</f>
        <v>2285.0675865480002</v>
      </c>
      <c r="AJ68" s="255">
        <f>AI68+AJ150-AJ154/2</f>
        <v>2574.864770066552</v>
      </c>
      <c r="AK68" s="215"/>
    </row>
    <row r="69" spans="1:37" x14ac:dyDescent="0.25">
      <c r="A69" s="211" t="s">
        <v>168</v>
      </c>
      <c r="C69" s="253">
        <v>313</v>
      </c>
      <c r="D69" s="253">
        <v>375</v>
      </c>
      <c r="E69" s="253">
        <v>425</v>
      </c>
      <c r="F69" s="253">
        <v>250</v>
      </c>
      <c r="G69" s="254"/>
      <c r="H69" s="253">
        <v>350</v>
      </c>
      <c r="I69" s="253">
        <v>395</v>
      </c>
      <c r="J69" s="253">
        <v>502</v>
      </c>
      <c r="K69" s="253">
        <v>570</v>
      </c>
      <c r="L69" s="254"/>
      <c r="M69" s="253">
        <v>504</v>
      </c>
      <c r="N69" s="253">
        <v>478</v>
      </c>
      <c r="O69" s="253">
        <v>518</v>
      </c>
      <c r="P69" s="253">
        <v>543</v>
      </c>
      <c r="Q69" s="254"/>
      <c r="R69" s="253">
        <v>550</v>
      </c>
      <c r="S69" s="253">
        <v>573</v>
      </c>
      <c r="T69" s="253">
        <v>607</v>
      </c>
      <c r="U69" s="253">
        <v>491</v>
      </c>
      <c r="V69" s="254"/>
      <c r="W69" s="253">
        <v>459</v>
      </c>
      <c r="X69" s="253">
        <v>454</v>
      </c>
      <c r="Y69" s="253">
        <v>471</v>
      </c>
      <c r="Z69" s="253">
        <v>486</v>
      </c>
      <c r="AA69" s="254"/>
      <c r="AB69" s="253">
        <v>795</v>
      </c>
      <c r="AC69" s="253">
        <v>920</v>
      </c>
      <c r="AD69" s="253">
        <v>1069</v>
      </c>
      <c r="AE69" s="253">
        <v>1151</v>
      </c>
      <c r="AF69" s="259"/>
      <c r="AG69" s="255">
        <v>1100</v>
      </c>
      <c r="AH69" s="255">
        <v>1100</v>
      </c>
      <c r="AI69" s="255">
        <v>1100</v>
      </c>
      <c r="AJ69" s="255">
        <v>1100</v>
      </c>
      <c r="AK69" s="215"/>
    </row>
    <row r="70" spans="1:37" x14ac:dyDescent="0.25">
      <c r="A70" s="211" t="s">
        <v>169</v>
      </c>
      <c r="C70" s="253">
        <v>1775</v>
      </c>
      <c r="D70" s="253">
        <v>2759</v>
      </c>
      <c r="E70" s="253">
        <v>3015</v>
      </c>
      <c r="F70" s="253">
        <v>3035</v>
      </c>
      <c r="G70" s="254"/>
      <c r="H70" s="253">
        <v>3104</v>
      </c>
      <c r="I70" s="253">
        <v>2974</v>
      </c>
      <c r="J70" s="253">
        <v>2950</v>
      </c>
      <c r="K70" s="253">
        <v>2904</v>
      </c>
      <c r="L70" s="254"/>
      <c r="M70" s="253">
        <v>2944</v>
      </c>
      <c r="N70" s="253">
        <v>3524</v>
      </c>
      <c r="O70" s="253">
        <v>3724</v>
      </c>
      <c r="P70" s="253">
        <v>4021</v>
      </c>
      <c r="Q70" s="254"/>
      <c r="R70" s="253">
        <v>4070</v>
      </c>
      <c r="S70" s="253">
        <v>4081</v>
      </c>
      <c r="T70" s="253">
        <v>4159</v>
      </c>
      <c r="U70" s="253">
        <v>4960</v>
      </c>
      <c r="V70" s="254"/>
      <c r="W70" s="253">
        <v>7051</v>
      </c>
      <c r="X70" s="253">
        <v>7661</v>
      </c>
      <c r="Y70" s="253">
        <v>7569</v>
      </c>
      <c r="Z70" s="253">
        <v>7662</v>
      </c>
      <c r="AA70" s="254"/>
      <c r="AB70" s="253">
        <v>7625</v>
      </c>
      <c r="AC70" s="253">
        <v>7519</v>
      </c>
      <c r="AD70" s="253">
        <v>7176</v>
      </c>
      <c r="AE70" s="253">
        <v>7522</v>
      </c>
      <c r="AF70" s="259"/>
      <c r="AG70" s="255">
        <v>7522</v>
      </c>
      <c r="AH70" s="255">
        <v>7522</v>
      </c>
      <c r="AI70" s="255">
        <v>7522</v>
      </c>
      <c r="AJ70" s="255">
        <v>7522</v>
      </c>
      <c r="AK70" s="215"/>
    </row>
    <row r="71" spans="1:37" x14ac:dyDescent="0.25">
      <c r="A71" s="211" t="s">
        <v>185</v>
      </c>
      <c r="C71" s="253">
        <v>702</v>
      </c>
      <c r="D71" s="253">
        <v>1126</v>
      </c>
      <c r="E71" s="253">
        <v>1147</v>
      </c>
      <c r="F71" s="253">
        <v>1120</v>
      </c>
      <c r="G71" s="254"/>
      <c r="H71" s="253">
        <v>1118</v>
      </c>
      <c r="I71" s="253">
        <v>1043</v>
      </c>
      <c r="J71" s="253">
        <v>1023</v>
      </c>
      <c r="K71" s="253">
        <v>991</v>
      </c>
      <c r="L71" s="254"/>
      <c r="M71" s="253">
        <v>1025</v>
      </c>
      <c r="N71" s="253">
        <v>1232</v>
      </c>
      <c r="O71" s="253">
        <v>1310</v>
      </c>
      <c r="P71" s="253">
        <v>1417</v>
      </c>
      <c r="Q71" s="254"/>
      <c r="R71" s="253">
        <v>1447</v>
      </c>
      <c r="S71" s="253">
        <v>1480</v>
      </c>
      <c r="T71" s="253">
        <v>1507</v>
      </c>
      <c r="U71" s="253">
        <v>1753</v>
      </c>
      <c r="V71" s="254"/>
      <c r="W71" s="253">
        <v>3321</v>
      </c>
      <c r="X71" s="253">
        <v>3613</v>
      </c>
      <c r="Y71" s="253">
        <v>3561</v>
      </c>
      <c r="Z71" s="253">
        <v>3671</v>
      </c>
      <c r="AA71" s="254"/>
      <c r="AB71" s="253">
        <v>3675</v>
      </c>
      <c r="AC71" s="253">
        <v>3676</v>
      </c>
      <c r="AD71" s="253">
        <v>3582</v>
      </c>
      <c r="AE71" s="253">
        <v>3859</v>
      </c>
      <c r="AF71" s="259"/>
      <c r="AG71" s="255">
        <f>AE71-AG20/2</f>
        <v>3427.1080000000002</v>
      </c>
      <c r="AH71" s="255">
        <f t="shared" ref="AH71:AJ71" si="105">AG71-AH20/2</f>
        <v>3329.5840000000003</v>
      </c>
      <c r="AI71" s="255">
        <f t="shared" si="105"/>
        <v>3234.1240000000003</v>
      </c>
      <c r="AJ71" s="255">
        <f t="shared" si="105"/>
        <v>3139.1800000000003</v>
      </c>
      <c r="AK71" s="221"/>
    </row>
    <row r="72" spans="1:37" x14ac:dyDescent="0.25">
      <c r="A72" s="211" t="s">
        <v>187</v>
      </c>
      <c r="C72" s="253">
        <v>0</v>
      </c>
      <c r="D72" s="253">
        <v>0</v>
      </c>
      <c r="E72" s="253">
        <v>0</v>
      </c>
      <c r="F72" s="253">
        <v>0</v>
      </c>
      <c r="G72" s="254"/>
      <c r="H72" s="253">
        <v>0</v>
      </c>
      <c r="I72" s="253">
        <v>0</v>
      </c>
      <c r="J72" s="253">
        <v>0</v>
      </c>
      <c r="K72" s="253">
        <v>0</v>
      </c>
      <c r="L72" s="254"/>
      <c r="M72" s="253">
        <v>0</v>
      </c>
      <c r="N72" s="253">
        <v>0</v>
      </c>
      <c r="O72" s="253">
        <v>0</v>
      </c>
      <c r="P72" s="253">
        <v>0</v>
      </c>
      <c r="Q72" s="254"/>
      <c r="R72" s="253">
        <v>0</v>
      </c>
      <c r="S72" s="253">
        <v>0</v>
      </c>
      <c r="T72" s="253">
        <v>0</v>
      </c>
      <c r="U72" s="253">
        <v>0</v>
      </c>
      <c r="V72" s="254"/>
      <c r="W72" s="253">
        <v>0</v>
      </c>
      <c r="X72" s="253">
        <v>0</v>
      </c>
      <c r="Y72" s="253">
        <v>0</v>
      </c>
      <c r="Z72" s="253">
        <v>0</v>
      </c>
      <c r="AA72" s="254"/>
      <c r="AB72" s="253">
        <v>0</v>
      </c>
      <c r="AC72" s="253">
        <v>0</v>
      </c>
      <c r="AD72" s="253">
        <v>0</v>
      </c>
      <c r="AE72" s="253">
        <v>0</v>
      </c>
      <c r="AF72" s="259"/>
      <c r="AG72" s="253">
        <v>0</v>
      </c>
      <c r="AH72" s="253">
        <v>0</v>
      </c>
      <c r="AI72" s="253">
        <v>0</v>
      </c>
      <c r="AJ72" s="253">
        <v>0</v>
      </c>
      <c r="AK72" s="215"/>
    </row>
    <row r="73" spans="1:37" x14ac:dyDescent="0.25">
      <c r="A73" s="211" t="s">
        <v>186</v>
      </c>
      <c r="C73" s="253">
        <v>0</v>
      </c>
      <c r="D73" s="253">
        <v>0</v>
      </c>
      <c r="E73" s="253">
        <v>0</v>
      </c>
      <c r="F73" s="253">
        <v>0</v>
      </c>
      <c r="G73" s="254"/>
      <c r="H73" s="253">
        <v>0</v>
      </c>
      <c r="I73" s="253">
        <v>0</v>
      </c>
      <c r="J73" s="253">
        <v>0</v>
      </c>
      <c r="K73" s="253">
        <v>0</v>
      </c>
      <c r="L73" s="254"/>
      <c r="M73" s="253">
        <v>0</v>
      </c>
      <c r="N73" s="253">
        <v>0</v>
      </c>
      <c r="O73" s="253">
        <v>0</v>
      </c>
      <c r="P73" s="253">
        <v>0</v>
      </c>
      <c r="Q73" s="254"/>
      <c r="R73" s="253">
        <v>0</v>
      </c>
      <c r="S73" s="253">
        <v>0</v>
      </c>
      <c r="T73" s="253">
        <v>0</v>
      </c>
      <c r="U73" s="253">
        <v>0</v>
      </c>
      <c r="V73" s="254"/>
      <c r="W73" s="253">
        <v>0</v>
      </c>
      <c r="X73" s="253">
        <v>0</v>
      </c>
      <c r="Y73" s="253">
        <v>0</v>
      </c>
      <c r="Z73" s="253">
        <v>0</v>
      </c>
      <c r="AA73" s="254"/>
      <c r="AB73" s="253">
        <v>0</v>
      </c>
      <c r="AC73" s="253">
        <v>0</v>
      </c>
      <c r="AD73" s="253">
        <v>0</v>
      </c>
      <c r="AE73" s="253">
        <v>0</v>
      </c>
      <c r="AF73" s="259"/>
      <c r="AG73" s="255">
        <v>0</v>
      </c>
      <c r="AH73" s="255">
        <v>0</v>
      </c>
      <c r="AI73" s="255">
        <v>0</v>
      </c>
      <c r="AJ73" s="255">
        <v>0</v>
      </c>
      <c r="AK73" s="215"/>
    </row>
    <row r="74" spans="1:37" x14ac:dyDescent="0.25">
      <c r="A74" s="211" t="s">
        <v>170</v>
      </c>
      <c r="C74" s="253">
        <v>2147</v>
      </c>
      <c r="D74" s="253">
        <v>2192</v>
      </c>
      <c r="E74" s="253">
        <v>2195</v>
      </c>
      <c r="F74" s="253">
        <v>2298</v>
      </c>
      <c r="G74" s="254"/>
      <c r="H74" s="253">
        <v>2826</v>
      </c>
      <c r="I74" s="253">
        <v>2894</v>
      </c>
      <c r="J74" s="253">
        <v>2925</v>
      </c>
      <c r="K74" s="253">
        <v>3303</v>
      </c>
      <c r="L74" s="254"/>
      <c r="M74" s="253">
        <v>3346</v>
      </c>
      <c r="N74" s="253">
        <v>3984</v>
      </c>
      <c r="O74" s="253">
        <v>4090</v>
      </c>
      <c r="P74" s="253">
        <v>4525</v>
      </c>
      <c r="Q74" s="254"/>
      <c r="R74" s="253">
        <v>4557</v>
      </c>
      <c r="S74" s="253">
        <v>4740</v>
      </c>
      <c r="T74" s="253">
        <v>4965</v>
      </c>
      <c r="U74" s="253">
        <v>5365</v>
      </c>
      <c r="V74" s="254"/>
      <c r="W74" s="253">
        <v>5714</v>
      </c>
      <c r="X74" s="253">
        <v>6265</v>
      </c>
      <c r="Y74" s="253">
        <v>6567</v>
      </c>
      <c r="Z74" s="253">
        <v>6994</v>
      </c>
      <c r="AA74" s="254"/>
      <c r="AB74" s="253">
        <v>7158</v>
      </c>
      <c r="AC74" s="253">
        <v>6955</v>
      </c>
      <c r="AD74" s="253">
        <v>7011</v>
      </c>
      <c r="AE74" s="253">
        <v>7580</v>
      </c>
      <c r="AF74" s="259"/>
      <c r="AG74" s="255">
        <v>7580</v>
      </c>
      <c r="AH74" s="255">
        <v>7580</v>
      </c>
      <c r="AI74" s="255">
        <v>7580</v>
      </c>
      <c r="AJ74" s="255">
        <v>7580</v>
      </c>
      <c r="AK74" s="215"/>
    </row>
    <row r="75" spans="1:37" x14ac:dyDescent="0.25">
      <c r="A75" s="216" t="s">
        <v>171</v>
      </c>
      <c r="C75" s="263">
        <f>C66+SUM(C68:C74)</f>
        <v>18570</v>
      </c>
      <c r="D75" s="263">
        <f t="shared" ref="D75:F75" si="106">D66+SUM(D68:D74)</f>
        <v>19839</v>
      </c>
      <c r="E75" s="263">
        <f t="shared" si="106"/>
        <v>20914</v>
      </c>
      <c r="F75" s="263">
        <f t="shared" si="106"/>
        <v>21329</v>
      </c>
      <c r="G75" s="264"/>
      <c r="H75" s="263">
        <f>H66+SUM(H68:H74)</f>
        <v>22944</v>
      </c>
      <c r="I75" s="263">
        <f t="shared" ref="I75" si="107">I66+SUM(I68:I74)</f>
        <v>22471</v>
      </c>
      <c r="J75" s="263">
        <f t="shared" ref="J75" si="108">J66+SUM(J68:J74)</f>
        <v>23340</v>
      </c>
      <c r="K75" s="263">
        <f t="shared" ref="K75" si="109">K66+SUM(K68:K74)</f>
        <v>24860</v>
      </c>
      <c r="L75" s="264"/>
      <c r="M75" s="263">
        <f>M66+SUM(M68:M74)</f>
        <v>23520</v>
      </c>
      <c r="N75" s="263">
        <f t="shared" ref="N75" si="110">N66+SUM(N68:N74)</f>
        <v>24731</v>
      </c>
      <c r="O75" s="263">
        <f t="shared" ref="O75" si="111">O66+SUM(O68:O74)</f>
        <v>25981</v>
      </c>
      <c r="P75" s="263">
        <f t="shared" ref="P75" si="112">P66+SUM(P68:P74)</f>
        <v>29236</v>
      </c>
      <c r="Q75" s="264"/>
      <c r="R75" s="263">
        <f>R66+SUM(R68:R74)</f>
        <v>30648</v>
      </c>
      <c r="S75" s="263">
        <f t="shared" ref="S75" si="113">S66+SUM(S68:S74)</f>
        <v>32127</v>
      </c>
      <c r="T75" s="263">
        <f t="shared" ref="T75" si="114">T66+SUM(T68:T74)</f>
        <v>31594</v>
      </c>
      <c r="U75" s="263">
        <f t="shared" ref="U75" si="115">U66+SUM(U68:U74)</f>
        <v>33584</v>
      </c>
      <c r="V75" s="264"/>
      <c r="W75" s="263">
        <f>W66+SUM(W68:W74)</f>
        <v>34800</v>
      </c>
      <c r="X75" s="263">
        <f t="shared" ref="X75" si="116">X66+SUM(X68:X74)</f>
        <v>34911</v>
      </c>
      <c r="Y75" s="263">
        <f t="shared" ref="Y75" si="117">Y66+SUM(Y68:Y74)</f>
        <v>35410</v>
      </c>
      <c r="Z75" s="263">
        <f t="shared" ref="Z75" si="118">Z66+SUM(Z68:Z74)</f>
        <v>37669</v>
      </c>
      <c r="AA75" s="262"/>
      <c r="AB75" s="263">
        <f>AB66+SUM(AB68:AB74)</f>
        <v>37163</v>
      </c>
      <c r="AC75" s="263">
        <f t="shared" ref="AC75" si="119">AC66+SUM(AC68:AC74)</f>
        <v>36231</v>
      </c>
      <c r="AD75" s="263">
        <f>AD66+SUM(AD68:AD74)</f>
        <v>37612</v>
      </c>
      <c r="AE75" s="263">
        <f>AE66+SUM(AE68:AE74)</f>
        <v>38724</v>
      </c>
      <c r="AF75" s="332"/>
      <c r="AG75" s="331">
        <f t="shared" ref="AG75" si="120">AG66+SUM(AG68:AG74)</f>
        <v>38367</v>
      </c>
      <c r="AH75" s="331">
        <f>AH66+SUM(AH68:AH74)</f>
        <v>39884</v>
      </c>
      <c r="AI75" s="331">
        <f t="shared" ref="AI75" si="121">AI66+SUM(AI68:AI74)</f>
        <v>41140</v>
      </c>
      <c r="AJ75" s="331">
        <f t="shared" ref="AJ75" si="122">AJ66+SUM(AJ68:AJ74)</f>
        <v>41970</v>
      </c>
      <c r="AK75" s="217"/>
    </row>
    <row r="76" spans="1:37" x14ac:dyDescent="0.25">
      <c r="A76" s="124"/>
      <c r="C76" s="218"/>
      <c r="D76" s="218"/>
      <c r="E76" s="218"/>
      <c r="F76" s="218"/>
      <c r="G76" s="219"/>
      <c r="H76" s="218"/>
      <c r="I76" s="218"/>
      <c r="J76" s="218"/>
      <c r="K76" s="218"/>
      <c r="L76" s="219"/>
      <c r="M76" s="218"/>
      <c r="N76" s="218"/>
      <c r="O76" s="218"/>
      <c r="P76" s="218"/>
      <c r="Q76" s="219"/>
      <c r="R76" s="218"/>
      <c r="S76" s="218"/>
      <c r="T76" s="218"/>
      <c r="U76" s="218"/>
      <c r="V76" s="219"/>
      <c r="W76" s="218"/>
      <c r="X76" s="218"/>
      <c r="Y76" s="218"/>
      <c r="Z76" s="218"/>
      <c r="AA76" s="219"/>
      <c r="AB76" s="218"/>
      <c r="AC76" s="218"/>
      <c r="AD76" s="218"/>
      <c r="AE76" s="276"/>
      <c r="AF76" s="220"/>
      <c r="AG76" s="276"/>
      <c r="AH76" s="276"/>
      <c r="AI76" s="276"/>
      <c r="AJ76" s="276"/>
      <c r="AK76" s="220"/>
    </row>
    <row r="77" spans="1:37" x14ac:dyDescent="0.25">
      <c r="A77" s="207"/>
      <c r="AE77" s="55"/>
      <c r="AF77" s="177"/>
      <c r="AG77" s="55"/>
      <c r="AH77" s="55"/>
      <c r="AI77" s="55"/>
      <c r="AJ77" s="55"/>
      <c r="AK77" s="177"/>
    </row>
    <row r="78" spans="1:37" x14ac:dyDescent="0.25">
      <c r="A78" s="237" t="s">
        <v>172</v>
      </c>
      <c r="C78" s="3"/>
      <c r="D78" s="3"/>
      <c r="E78" s="3"/>
      <c r="F78" s="3"/>
      <c r="G78" s="176"/>
      <c r="H78" s="3"/>
      <c r="I78" s="3"/>
      <c r="J78" s="3"/>
      <c r="K78" s="3"/>
      <c r="L78" s="176"/>
      <c r="M78" s="3"/>
      <c r="N78" s="3"/>
      <c r="O78" s="3"/>
      <c r="P78" s="3"/>
      <c r="Q78" s="176"/>
      <c r="R78" s="3"/>
      <c r="S78" s="3"/>
      <c r="T78" s="3"/>
      <c r="U78" s="3"/>
      <c r="V78" s="176"/>
      <c r="W78" s="3"/>
      <c r="X78" s="3"/>
      <c r="Y78" s="3"/>
      <c r="Z78" s="3"/>
      <c r="AA78" s="176"/>
      <c r="AB78" s="3"/>
      <c r="AC78" s="3"/>
      <c r="AD78" s="260"/>
      <c r="AE78" s="236"/>
      <c r="AF78" s="277"/>
      <c r="AG78" s="236"/>
      <c r="AH78" s="236"/>
      <c r="AI78" s="236"/>
      <c r="AJ78" s="236"/>
      <c r="AK78" s="277"/>
    </row>
    <row r="79" spans="1:37" x14ac:dyDescent="0.25">
      <c r="A79" s="210" t="s">
        <v>173</v>
      </c>
      <c r="C79" s="253">
        <v>680</v>
      </c>
      <c r="D79" s="253">
        <v>654</v>
      </c>
      <c r="E79" s="253">
        <v>722</v>
      </c>
      <c r="F79" s="253">
        <v>933</v>
      </c>
      <c r="H79" s="253">
        <v>370</v>
      </c>
      <c r="I79" s="253">
        <v>345</v>
      </c>
      <c r="J79" s="253">
        <v>382</v>
      </c>
      <c r="K79" s="253">
        <v>537</v>
      </c>
      <c r="M79" s="253">
        <v>508</v>
      </c>
      <c r="N79" s="253">
        <v>432</v>
      </c>
      <c r="O79" s="253">
        <v>505</v>
      </c>
      <c r="P79" s="253">
        <v>489</v>
      </c>
      <c r="R79" s="253">
        <v>371</v>
      </c>
      <c r="S79" s="253">
        <v>369</v>
      </c>
      <c r="T79" s="253">
        <v>341</v>
      </c>
      <c r="U79" s="253">
        <v>527</v>
      </c>
      <c r="W79" s="253">
        <v>476</v>
      </c>
      <c r="X79" s="253">
        <v>547</v>
      </c>
      <c r="Y79" s="253">
        <v>557</v>
      </c>
      <c r="Z79" s="253">
        <v>738</v>
      </c>
      <c r="AB79" s="253">
        <v>666</v>
      </c>
      <c r="AC79" s="253">
        <v>633</v>
      </c>
      <c r="AD79" s="253">
        <v>615</v>
      </c>
      <c r="AE79" s="253">
        <v>926</v>
      </c>
      <c r="AF79" s="177"/>
      <c r="AG79" s="255">
        <f>AG80*4*AG11/365</f>
        <v>776.16475054882994</v>
      </c>
      <c r="AH79" s="255">
        <f t="shared" ref="AH79:AJ79" si="123">AH80*4*AH11/365</f>
        <v>871.21950261447614</v>
      </c>
      <c r="AI79" s="255">
        <f t="shared" si="123"/>
        <v>860.19246373039414</v>
      </c>
      <c r="AJ79" s="255">
        <f t="shared" si="123"/>
        <v>843.26834743792085</v>
      </c>
      <c r="AK79" s="177"/>
    </row>
    <row r="80" spans="1:37" x14ac:dyDescent="0.25">
      <c r="A80" s="231" t="s">
        <v>189</v>
      </c>
      <c r="C80" s="223">
        <f>365/(C11*4/C79)</f>
        <v>22.695683979517192</v>
      </c>
      <c r="D80" s="223">
        <f t="shared" ref="D80:F80" si="124">365/(D11*4/D79)</f>
        <v>19.547166721257778</v>
      </c>
      <c r="E80" s="223">
        <f t="shared" si="124"/>
        <v>19.388610947616247</v>
      </c>
      <c r="F80" s="223">
        <f t="shared" si="124"/>
        <v>25.705389492753621</v>
      </c>
      <c r="H80" s="223">
        <f>365/(H11*4/H79)</f>
        <v>9.43086592178771</v>
      </c>
      <c r="I80" s="223">
        <f t="shared" ref="I80" si="125">365/(I11*4/I79)</f>
        <v>8.5896998635743511</v>
      </c>
      <c r="J80" s="223">
        <f t="shared" ref="J80" si="126">365/(J11*4/J79)</f>
        <v>8.942406362237044</v>
      </c>
      <c r="K80" s="223">
        <f t="shared" ref="K80" si="127">365/(K11*4/K79)</f>
        <v>12.871355397951143</v>
      </c>
      <c r="M80" s="223">
        <f>365/(M11*4/M79)</f>
        <v>11.919516585240421</v>
      </c>
      <c r="N80" s="223">
        <f t="shared" ref="N80" si="128">365/(N11*4/N79)</f>
        <v>9.5842450765864324</v>
      </c>
      <c r="O80" s="223">
        <f t="shared" ref="O80" si="129">365/(O11*4/O79)</f>
        <v>10.315927915827178</v>
      </c>
      <c r="P80" s="223">
        <f t="shared" ref="P80" si="130">365/(P11*4/P79)</f>
        <v>10.109028092433167</v>
      </c>
      <c r="R80" s="223">
        <f>365/(R11*4/R79)</f>
        <v>8.4444375155899234</v>
      </c>
      <c r="S80" s="223">
        <f t="shared" ref="S80" si="131">365/(S11*4/S79)</f>
        <v>10.096326836581708</v>
      </c>
      <c r="T80" s="223">
        <f t="shared" ref="T80" si="132">365/(T11*4/T79)</f>
        <v>8.1095256710972112</v>
      </c>
      <c r="U80" s="223">
        <f t="shared" ref="U80" si="133">365/(U11*4/U79)</f>
        <v>11.672026699029127</v>
      </c>
      <c r="W80" s="223">
        <f>365/(W11*4/W79)</f>
        <v>10.45367027677497</v>
      </c>
      <c r="X80" s="223">
        <f t="shared" ref="X80" si="134">365/(X11*4/X79)</f>
        <v>11.023354681978798</v>
      </c>
      <c r="Y80" s="223">
        <f t="shared" ref="Y80" si="135">365/(Y11*4/Y79)</f>
        <v>10.195837512537613</v>
      </c>
      <c r="Z80" s="223">
        <f t="shared" ref="Z80" si="136">365/(Z11*4/Z79)</f>
        <v>12.910755368098158</v>
      </c>
      <c r="AB80" s="223">
        <f>365/(AB11*4/AB79)</f>
        <v>11.830348452404127</v>
      </c>
      <c r="AC80" s="223">
        <f t="shared" ref="AC80" si="137">365/(AC11*4/AC79)</f>
        <v>10.519258787106175</v>
      </c>
      <c r="AD80" s="223">
        <f t="shared" ref="AD80:AE80" si="138">365/(AD11*4/AD79)</f>
        <v>9.7496091035441275</v>
      </c>
      <c r="AE80" s="223">
        <f t="shared" si="138"/>
        <v>14.525958397799553</v>
      </c>
      <c r="AF80" s="177"/>
      <c r="AG80" s="55">
        <v>13</v>
      </c>
      <c r="AH80" s="55">
        <v>13</v>
      </c>
      <c r="AI80" s="55">
        <v>12</v>
      </c>
      <c r="AJ80" s="55">
        <v>12</v>
      </c>
      <c r="AK80" s="177"/>
    </row>
    <row r="81" spans="1:37" x14ac:dyDescent="0.25">
      <c r="A81" s="211" t="s">
        <v>174</v>
      </c>
      <c r="C81" s="253">
        <v>822</v>
      </c>
      <c r="D81" s="253">
        <v>1106</v>
      </c>
      <c r="E81" s="253">
        <v>1002</v>
      </c>
      <c r="F81" s="253">
        <v>1343</v>
      </c>
      <c r="H81" s="253">
        <v>1280</v>
      </c>
      <c r="I81" s="253">
        <v>1232</v>
      </c>
      <c r="J81" s="253">
        <v>1155</v>
      </c>
      <c r="K81" s="253">
        <v>2189</v>
      </c>
      <c r="M81" s="253">
        <v>1189</v>
      </c>
      <c r="N81" s="253">
        <v>1330</v>
      </c>
      <c r="O81" s="253">
        <v>2158</v>
      </c>
      <c r="P81" s="253">
        <v>2714</v>
      </c>
      <c r="R81" s="253">
        <v>1149</v>
      </c>
      <c r="S81" s="253">
        <v>1527</v>
      </c>
      <c r="T81" s="253">
        <v>1129</v>
      </c>
      <c r="U81" s="253">
        <v>1475</v>
      </c>
      <c r="W81" s="253">
        <v>1297</v>
      </c>
      <c r="X81" s="253">
        <v>569</v>
      </c>
      <c r="Y81" s="253">
        <v>496</v>
      </c>
      <c r="Z81" s="253">
        <v>913</v>
      </c>
      <c r="AB81" s="253">
        <v>547</v>
      </c>
      <c r="AC81" s="253">
        <v>672</v>
      </c>
      <c r="AD81" s="253">
        <v>1054</v>
      </c>
      <c r="AE81" s="253">
        <v>1111</v>
      </c>
      <c r="AF81" s="177"/>
      <c r="AG81" s="255">
        <f>AG11*AG82</f>
        <v>1089.6158998089345</v>
      </c>
      <c r="AH81" s="255">
        <f t="shared" ref="AH81:AJ81" si="139">AH11*AH82</f>
        <v>1223.0581479010916</v>
      </c>
      <c r="AI81" s="255">
        <f t="shared" si="139"/>
        <v>1308.2093719233078</v>
      </c>
      <c r="AJ81" s="255">
        <f t="shared" si="139"/>
        <v>1282.470611728505</v>
      </c>
      <c r="AK81" s="177"/>
    </row>
    <row r="82" spans="1:37" x14ac:dyDescent="0.25">
      <c r="A82" s="232" t="s">
        <v>82</v>
      </c>
      <c r="C82" s="225">
        <f>C81/C11</f>
        <v>0.30065837600585221</v>
      </c>
      <c r="D82" s="225">
        <f t="shared" ref="D82:F82" si="140">D81/D11</f>
        <v>0.3622666229937766</v>
      </c>
      <c r="E82" s="225">
        <f t="shared" si="140"/>
        <v>0.29487934078869926</v>
      </c>
      <c r="F82" s="225">
        <f t="shared" si="140"/>
        <v>0.40549516908212563</v>
      </c>
      <c r="H82" s="225">
        <f>H81/H11</f>
        <v>0.35754189944134079</v>
      </c>
      <c r="I82" s="225">
        <f t="shared" ref="I82" si="141">I81/I11</f>
        <v>0.33615279672578446</v>
      </c>
      <c r="J82" s="225">
        <f t="shared" ref="J82" si="142">J81/J11</f>
        <v>0.29630579784504874</v>
      </c>
      <c r="K82" s="225">
        <f t="shared" ref="K82" si="143">K81/K11</f>
        <v>0.5749934331494615</v>
      </c>
      <c r="M82" s="225">
        <f>M81/M11</f>
        <v>0.30573412188223192</v>
      </c>
      <c r="N82" s="225">
        <f t="shared" ref="N82" si="144">N81/N11</f>
        <v>0.32336494043277414</v>
      </c>
      <c r="O82" s="225">
        <f t="shared" ref="O82" si="145">O81/O11</f>
        <v>0.48309827624804119</v>
      </c>
      <c r="P82" s="225">
        <f t="shared" ref="P82" si="146">P81/P11</f>
        <v>0.61486180335296781</v>
      </c>
      <c r="R82" s="225">
        <f>R81/R11</f>
        <v>0.28660513843851332</v>
      </c>
      <c r="S82" s="225">
        <f t="shared" ref="S82" si="147">S81/S11</f>
        <v>0.4578710644677661</v>
      </c>
      <c r="T82" s="225">
        <f t="shared" ref="T82" si="148">T81/T11</f>
        <v>0.2942402918947094</v>
      </c>
      <c r="U82" s="225">
        <f t="shared" ref="U82" si="149">U81/U11</f>
        <v>0.35800970873786409</v>
      </c>
      <c r="W82" s="225">
        <f>W81/W11</f>
        <v>0.31215403128760527</v>
      </c>
      <c r="X82" s="225">
        <f t="shared" ref="X82" si="150">X81/X11</f>
        <v>0.12566254416961131</v>
      </c>
      <c r="Y82" s="225">
        <f t="shared" ref="Y82" si="151">Y81/Y11</f>
        <v>9.9498495486459379E-2</v>
      </c>
      <c r="Z82" s="225">
        <f t="shared" ref="Z82" si="152">Z81/Z11</f>
        <v>0.17503834355828221</v>
      </c>
      <c r="AB82" s="225">
        <f>AB81/AB11</f>
        <v>0.1064823827136461</v>
      </c>
      <c r="AC82" s="225">
        <f t="shared" ref="AC82" si="153">AC81/AC11</f>
        <v>0.12238207976689128</v>
      </c>
      <c r="AD82" s="225">
        <f t="shared" ref="AD82:AE82" si="154">AD81/AD11</f>
        <v>0.18311327310632383</v>
      </c>
      <c r="AE82" s="225">
        <f t="shared" si="154"/>
        <v>0.19099192023379749</v>
      </c>
      <c r="AF82" s="177"/>
      <c r="AG82" s="227">
        <v>0.2</v>
      </c>
      <c r="AH82" s="227">
        <v>0.2</v>
      </c>
      <c r="AI82" s="227">
        <v>0.2</v>
      </c>
      <c r="AJ82" s="227">
        <v>0.2</v>
      </c>
      <c r="AK82" s="177"/>
    </row>
    <row r="83" spans="1:37" x14ac:dyDescent="0.25">
      <c r="A83" s="211" t="s">
        <v>163</v>
      </c>
      <c r="C83" s="253">
        <v>984</v>
      </c>
      <c r="D83" s="253">
        <v>993</v>
      </c>
      <c r="E83" s="253">
        <v>1026</v>
      </c>
      <c r="F83" s="253">
        <v>1085</v>
      </c>
      <c r="H83" s="253">
        <v>965</v>
      </c>
      <c r="I83" s="253">
        <v>992</v>
      </c>
      <c r="J83" s="253">
        <v>1034</v>
      </c>
      <c r="K83" s="253">
        <v>1080</v>
      </c>
      <c r="M83" s="253">
        <v>1044</v>
      </c>
      <c r="N83" s="253">
        <v>1061</v>
      </c>
      <c r="O83" s="253">
        <v>1173</v>
      </c>
      <c r="P83" s="253">
        <v>1370</v>
      </c>
      <c r="R83" s="253">
        <v>1518</v>
      </c>
      <c r="S83" s="253">
        <v>1548</v>
      </c>
      <c r="T83" s="253">
        <v>1568</v>
      </c>
      <c r="U83" s="253">
        <v>1696</v>
      </c>
      <c r="W83" s="253">
        <v>1759</v>
      </c>
      <c r="X83" s="253">
        <v>1806</v>
      </c>
      <c r="Y83" s="253">
        <v>1832</v>
      </c>
      <c r="Z83" s="253">
        <v>1873</v>
      </c>
      <c r="AB83" s="253">
        <v>1730</v>
      </c>
      <c r="AC83" s="253">
        <v>1621</v>
      </c>
      <c r="AD83" s="253">
        <v>1531</v>
      </c>
      <c r="AE83" s="253">
        <v>1568</v>
      </c>
      <c r="AF83" s="177"/>
      <c r="AG83" s="255">
        <v>1600</v>
      </c>
      <c r="AH83" s="255">
        <v>1600</v>
      </c>
      <c r="AI83" s="255">
        <v>1600</v>
      </c>
      <c r="AJ83" s="255">
        <v>1600</v>
      </c>
      <c r="AK83" s="177"/>
    </row>
    <row r="84" spans="1:37" x14ac:dyDescent="0.25">
      <c r="A84" s="211" t="s">
        <v>188</v>
      </c>
      <c r="C84" s="253">
        <v>734</v>
      </c>
      <c r="D84" s="253">
        <v>736</v>
      </c>
      <c r="E84" s="253">
        <v>709</v>
      </c>
      <c r="F84" s="253">
        <v>709</v>
      </c>
      <c r="H84" s="253">
        <v>828</v>
      </c>
      <c r="I84" s="253">
        <v>949</v>
      </c>
      <c r="J84" s="253">
        <v>920</v>
      </c>
      <c r="K84" s="253">
        <v>1591</v>
      </c>
      <c r="M84" s="253">
        <v>1575</v>
      </c>
      <c r="N84" s="253">
        <v>935</v>
      </c>
      <c r="O84" s="253">
        <v>938</v>
      </c>
      <c r="P84" s="253">
        <v>914</v>
      </c>
      <c r="R84" s="253">
        <v>852</v>
      </c>
      <c r="S84" s="253">
        <v>853</v>
      </c>
      <c r="T84" s="253">
        <v>798</v>
      </c>
      <c r="U84" s="253">
        <v>842</v>
      </c>
      <c r="W84" s="253">
        <v>841</v>
      </c>
      <c r="X84" s="253">
        <v>906</v>
      </c>
      <c r="Y84" s="253">
        <v>838</v>
      </c>
      <c r="Z84" s="253">
        <v>840</v>
      </c>
      <c r="AB84" s="253">
        <v>797</v>
      </c>
      <c r="AC84" s="253">
        <v>923</v>
      </c>
      <c r="AD84" s="253">
        <v>1086</v>
      </c>
      <c r="AE84" s="253">
        <v>1094</v>
      </c>
      <c r="AF84" s="177"/>
      <c r="AG84" s="255">
        <v>1094</v>
      </c>
      <c r="AH84" s="255">
        <v>1094</v>
      </c>
      <c r="AI84" s="255">
        <v>1094</v>
      </c>
      <c r="AJ84" s="255">
        <v>1094</v>
      </c>
      <c r="AK84" s="177"/>
    </row>
    <row r="85" spans="1:37" x14ac:dyDescent="0.25">
      <c r="A85" s="211" t="s">
        <v>175</v>
      </c>
      <c r="C85" s="253">
        <v>3158</v>
      </c>
      <c r="D85" s="253">
        <v>3306</v>
      </c>
      <c r="E85" s="253">
        <v>3685</v>
      </c>
      <c r="F85" s="253">
        <v>3931</v>
      </c>
      <c r="H85" s="253">
        <v>4501</v>
      </c>
      <c r="I85" s="253">
        <v>4418</v>
      </c>
      <c r="J85" s="253">
        <v>4745</v>
      </c>
      <c r="K85" s="253">
        <v>4747</v>
      </c>
      <c r="M85" s="253">
        <v>4329</v>
      </c>
      <c r="N85" s="253">
        <v>4752</v>
      </c>
      <c r="O85" s="253">
        <v>4985</v>
      </c>
      <c r="P85" s="253">
        <v>5489</v>
      </c>
      <c r="R85" s="253">
        <v>4676</v>
      </c>
      <c r="S85" s="253">
        <v>4530</v>
      </c>
      <c r="T85" s="253">
        <v>5011</v>
      </c>
      <c r="U85" s="253">
        <v>5430</v>
      </c>
      <c r="W85" s="253">
        <v>5200</v>
      </c>
      <c r="X85" s="253">
        <v>5564</v>
      </c>
      <c r="Y85" s="253">
        <v>5964</v>
      </c>
      <c r="Z85" s="253">
        <v>6642</v>
      </c>
      <c r="AB85" s="253">
        <v>5954</v>
      </c>
      <c r="AC85" s="253">
        <v>6111</v>
      </c>
      <c r="AD85" s="253">
        <v>6888</v>
      </c>
      <c r="AE85" s="253">
        <v>7801</v>
      </c>
      <c r="AF85" s="177"/>
      <c r="AG85" s="255">
        <f>AE85*(1+AG86)</f>
        <v>8191.05</v>
      </c>
      <c r="AH85" s="255">
        <f>AG85*(1+AH86)</f>
        <v>8600.6025000000009</v>
      </c>
      <c r="AI85" s="255">
        <f t="shared" ref="AI85:AJ85" si="155">AH85*(1+AI86)</f>
        <v>8815.6175624999996</v>
      </c>
      <c r="AJ85" s="255">
        <f t="shared" si="155"/>
        <v>9036.008001562499</v>
      </c>
      <c r="AK85" s="177"/>
    </row>
    <row r="86" spans="1:37" x14ac:dyDescent="0.25">
      <c r="A86" s="232" t="s">
        <v>190</v>
      </c>
      <c r="C86" s="225">
        <v>0</v>
      </c>
      <c r="D86" s="225">
        <f>D85/C85-1</f>
        <v>4.6865104496516707E-2</v>
      </c>
      <c r="E86" s="225">
        <f t="shared" ref="E86:F86" si="156">E85/D85-1</f>
        <v>0.11464004839685416</v>
      </c>
      <c r="F86" s="225">
        <f t="shared" si="156"/>
        <v>6.6757123473541347E-2</v>
      </c>
      <c r="G86" s="233">
        <f>F85/C85-1</f>
        <v>0.24477517416086125</v>
      </c>
      <c r="H86" s="225">
        <f>H85/F85-1</f>
        <v>0.14500127194098189</v>
      </c>
      <c r="I86" s="225">
        <f t="shared" ref="I86" si="157">I85/H85-1</f>
        <v>-1.8440346589646772E-2</v>
      </c>
      <c r="J86" s="225">
        <f t="shared" ref="J86:K86" si="158">J85/I85-1</f>
        <v>7.4015391579900447E-2</v>
      </c>
      <c r="K86" s="225">
        <f t="shared" si="158"/>
        <v>4.2149631190735448E-4</v>
      </c>
      <c r="L86" s="233">
        <f>K85/H85-1</f>
        <v>5.4654521217507135E-2</v>
      </c>
      <c r="M86" s="225">
        <f>M85/K85-1</f>
        <v>-8.805561407204554E-2</v>
      </c>
      <c r="N86" s="225">
        <f t="shared" ref="N86" si="159">N85/M85-1</f>
        <v>9.7713097713097774E-2</v>
      </c>
      <c r="O86" s="225">
        <f t="shared" ref="O86" si="160">O85/N85-1</f>
        <v>4.9031986531986593E-2</v>
      </c>
      <c r="P86" s="225">
        <f t="shared" ref="P86" si="161">P85/O85-1</f>
        <v>0.10110330992978933</v>
      </c>
      <c r="Q86" s="233">
        <f>P85/M85-1</f>
        <v>0.26796026796026795</v>
      </c>
      <c r="R86" s="225">
        <f>R85/P85-1</f>
        <v>-0.14811441063946074</v>
      </c>
      <c r="S86" s="225">
        <f t="shared" ref="S86" si="162">S85/R85-1</f>
        <v>-3.122326775021389E-2</v>
      </c>
      <c r="T86" s="225">
        <f t="shared" ref="T86" si="163">T85/S85-1</f>
        <v>0.10618101545253866</v>
      </c>
      <c r="U86" s="225">
        <f t="shared" ref="U86" si="164">U85/T85-1</f>
        <v>8.3616044701656289E-2</v>
      </c>
      <c r="V86" s="233">
        <f>U85/R85-1</f>
        <v>0.16124893071000845</v>
      </c>
      <c r="W86" s="225">
        <f>W85/U85-1</f>
        <v>-4.2357274401473299E-2</v>
      </c>
      <c r="X86" s="225">
        <f t="shared" ref="X86" si="165">X85/W85-1</f>
        <v>7.0000000000000062E-2</v>
      </c>
      <c r="Y86" s="225">
        <f t="shared" ref="Y86" si="166">Y85/X85-1</f>
        <v>7.1890726096333513E-2</v>
      </c>
      <c r="Z86" s="225">
        <f t="shared" ref="Z86" si="167">Z85/Y85-1</f>
        <v>0.1136820925553319</v>
      </c>
      <c r="AA86" s="233">
        <f>Z85/W85-1</f>
        <v>0.27730769230769226</v>
      </c>
      <c r="AB86" s="225">
        <f>AB85/Z85-1</f>
        <v>-0.10358325805480273</v>
      </c>
      <c r="AC86" s="225">
        <f t="shared" ref="AC86" si="168">AC85/AB85-1</f>
        <v>2.6368827678871387E-2</v>
      </c>
      <c r="AD86" s="225">
        <f t="shared" ref="AD86:AE86" si="169">AD85/AC85-1</f>
        <v>0.12714776632302405</v>
      </c>
      <c r="AE86" s="225">
        <f t="shared" si="169"/>
        <v>0.13254936120789784</v>
      </c>
      <c r="AF86" s="233">
        <f>AE85/AB85-1</f>
        <v>0.3102116224386966</v>
      </c>
      <c r="AG86" s="227">
        <v>0.05</v>
      </c>
      <c r="AH86" s="227">
        <v>0.05</v>
      </c>
      <c r="AI86" s="227">
        <v>2.5000000000000001E-2</v>
      </c>
      <c r="AJ86" s="227">
        <v>2.5000000000000001E-2</v>
      </c>
      <c r="AK86" s="233">
        <f>AJ85/AG85-1</f>
        <v>0.10315624999999984</v>
      </c>
    </row>
    <row r="87" spans="1:37" x14ac:dyDescent="0.25">
      <c r="A87" s="211" t="s">
        <v>176</v>
      </c>
      <c r="C87" s="253">
        <v>0</v>
      </c>
      <c r="D87" s="253">
        <v>0</v>
      </c>
      <c r="E87" s="253">
        <v>0</v>
      </c>
      <c r="F87" s="253">
        <v>0</v>
      </c>
      <c r="H87" s="253">
        <v>0</v>
      </c>
      <c r="I87" s="253">
        <v>0</v>
      </c>
      <c r="J87" s="253">
        <v>0</v>
      </c>
      <c r="K87" s="253">
        <v>0</v>
      </c>
      <c r="M87" s="253">
        <v>0</v>
      </c>
      <c r="N87" s="253">
        <v>0</v>
      </c>
      <c r="O87" s="253">
        <v>0</v>
      </c>
      <c r="P87" s="253">
        <v>0</v>
      </c>
      <c r="R87" s="253">
        <v>0</v>
      </c>
      <c r="S87" s="253">
        <v>0</v>
      </c>
      <c r="T87" s="253">
        <v>0</v>
      </c>
      <c r="U87" s="253">
        <v>649</v>
      </c>
      <c r="W87" s="253">
        <v>649</v>
      </c>
      <c r="X87" s="253">
        <v>649</v>
      </c>
      <c r="Y87" s="253">
        <v>650</v>
      </c>
      <c r="Z87" s="253">
        <v>792</v>
      </c>
      <c r="AB87" s="253">
        <v>778</v>
      </c>
      <c r="AC87" s="253">
        <v>735</v>
      </c>
      <c r="AD87" s="253">
        <v>957</v>
      </c>
      <c r="AE87" s="253">
        <v>274</v>
      </c>
      <c r="AF87" s="177"/>
      <c r="AG87" s="255">
        <v>274</v>
      </c>
      <c r="AH87" s="255">
        <v>274</v>
      </c>
      <c r="AI87" s="255">
        <v>274</v>
      </c>
      <c r="AJ87" s="255">
        <v>274</v>
      </c>
      <c r="AK87" s="177"/>
    </row>
    <row r="88" spans="1:37" x14ac:dyDescent="0.25">
      <c r="A88" s="211" t="s">
        <v>177</v>
      </c>
      <c r="C88" s="253">
        <v>717</v>
      </c>
      <c r="D88" s="253">
        <v>788</v>
      </c>
      <c r="E88" s="253">
        <v>840</v>
      </c>
      <c r="F88" s="253">
        <v>792</v>
      </c>
      <c r="H88" s="253">
        <v>1004</v>
      </c>
      <c r="I88" s="253">
        <v>1519</v>
      </c>
      <c r="J88" s="253">
        <v>1473</v>
      </c>
      <c r="K88" s="253">
        <v>1449</v>
      </c>
      <c r="M88" s="253">
        <v>1601</v>
      </c>
      <c r="N88" s="253">
        <v>987</v>
      </c>
      <c r="O88" s="253">
        <v>955</v>
      </c>
      <c r="P88" s="253">
        <v>928</v>
      </c>
      <c r="R88" s="253">
        <v>1146</v>
      </c>
      <c r="S88" s="253">
        <v>1096</v>
      </c>
      <c r="T88" s="253">
        <v>1111</v>
      </c>
      <c r="U88" s="253">
        <v>1228</v>
      </c>
      <c r="W88" s="253">
        <v>1253</v>
      </c>
      <c r="X88" s="253">
        <v>1256</v>
      </c>
      <c r="Y88" s="253">
        <v>1224</v>
      </c>
      <c r="Z88" s="253">
        <v>1364</v>
      </c>
      <c r="AB88" s="253">
        <v>1456</v>
      </c>
      <c r="AC88" s="253">
        <v>1390</v>
      </c>
      <c r="AD88" s="253">
        <v>1345</v>
      </c>
      <c r="AE88" s="253">
        <v>1397</v>
      </c>
      <c r="AF88" s="177"/>
      <c r="AG88" s="255">
        <f>AG11*AG89</f>
        <v>1253.0582847802746</v>
      </c>
      <c r="AH88" s="255">
        <f t="shared" ref="AH88:AJ88" si="170">AH11*AH89</f>
        <v>1375.9404163887282</v>
      </c>
      <c r="AI88" s="255">
        <f t="shared" si="170"/>
        <v>1439.0303091156384</v>
      </c>
      <c r="AJ88" s="255">
        <f t="shared" si="170"/>
        <v>1378.6559076081426</v>
      </c>
      <c r="AK88" s="177"/>
    </row>
    <row r="89" spans="1:37" x14ac:dyDescent="0.25">
      <c r="A89" s="229" t="s">
        <v>82</v>
      </c>
      <c r="C89" s="213">
        <f>C88/C11</f>
        <v>0.26225310899780541</v>
      </c>
      <c r="D89" s="213">
        <f>D88/D11</f>
        <v>0.25810678021618083</v>
      </c>
      <c r="E89" s="213">
        <f>E88/E11</f>
        <v>0.24720423778693348</v>
      </c>
      <c r="F89" s="213">
        <f>F88/F11</f>
        <v>0.2391304347826087</v>
      </c>
      <c r="H89" s="213">
        <f>H88/H11</f>
        <v>0.28044692737430166</v>
      </c>
      <c r="I89" s="213">
        <f>I88/I11</f>
        <v>0.41446111869031377</v>
      </c>
      <c r="J89" s="213">
        <f>J88/J11</f>
        <v>0.37788609543355567</v>
      </c>
      <c r="K89" s="213">
        <f>K88/K11</f>
        <v>0.38061465721040189</v>
      </c>
      <c r="M89" s="213">
        <f>M88/M11</f>
        <v>0.41167395217279507</v>
      </c>
      <c r="N89" s="213">
        <f>N88/N11</f>
        <v>0.2399708242159008</v>
      </c>
      <c r="O89" s="213">
        <f>O88/O11</f>
        <v>0.21379001567047234</v>
      </c>
      <c r="P89" s="213">
        <f>P88/P11</f>
        <v>0.21024014499320345</v>
      </c>
      <c r="R89" s="213">
        <f>R88/R11</f>
        <v>0.28585682215016212</v>
      </c>
      <c r="S89" s="213">
        <f>S88/S11</f>
        <v>0.32863568215892053</v>
      </c>
      <c r="T89" s="213">
        <f>T88/T11</f>
        <v>0.28954912692207452</v>
      </c>
      <c r="U89" s="213">
        <f>U88/U11</f>
        <v>0.29805825242718448</v>
      </c>
      <c r="W89" s="213">
        <f>W88/W11</f>
        <v>0.30156438026474125</v>
      </c>
      <c r="X89" s="213">
        <f>X88/X11</f>
        <v>0.27738515901060068</v>
      </c>
      <c r="Y89" s="213">
        <f>Y88/Y11</f>
        <v>0.24553660982948847</v>
      </c>
      <c r="Z89" s="213">
        <f>Z88/Z11</f>
        <v>0.26150306748466257</v>
      </c>
      <c r="AB89" s="213">
        <f>AB88/AB11</f>
        <v>0.28343391084290442</v>
      </c>
      <c r="AC89" s="213">
        <f>AC88/AC11</f>
        <v>0.25314150427973048</v>
      </c>
      <c r="AD89" s="213">
        <f>AD88/AD11</f>
        <v>0.23366921473245308</v>
      </c>
      <c r="AE89" s="213">
        <f>AE88/AE11</f>
        <v>0.24015815712566616</v>
      </c>
      <c r="AF89" s="177"/>
      <c r="AG89" s="279">
        <v>0.23</v>
      </c>
      <c r="AH89" s="279">
        <v>0.22500000000000001</v>
      </c>
      <c r="AI89" s="279">
        <v>0.22</v>
      </c>
      <c r="AJ89" s="279">
        <v>0.215</v>
      </c>
      <c r="AK89" s="177"/>
    </row>
    <row r="90" spans="1:37" x14ac:dyDescent="0.25">
      <c r="A90" s="216" t="s">
        <v>178</v>
      </c>
      <c r="C90" s="265">
        <f>SUM(C88,C85,C81:C84,C79,C87)</f>
        <v>7095.3006583760061</v>
      </c>
      <c r="D90" s="265">
        <f>SUM(D88,D85,D81:D84,D79,D87)</f>
        <v>7583.362266622994</v>
      </c>
      <c r="E90" s="265">
        <f>SUM(E88,E85,E81:E84,E79,E87)</f>
        <v>7984.2948793407886</v>
      </c>
      <c r="F90" s="265">
        <f>SUM(F88,F85,F81:F84,F79,F87)</f>
        <v>8793.4054951690814</v>
      </c>
      <c r="G90" s="266"/>
      <c r="H90" s="265">
        <f>SUM(H88,H85,H81:H84,H79,H87)</f>
        <v>8948.3575418994405</v>
      </c>
      <c r="I90" s="265">
        <f>SUM(I88,I85,I81:I84,I79,I87)</f>
        <v>9455.3361527967245</v>
      </c>
      <c r="J90" s="265">
        <f>SUM(J88,J85,J81:J84,J79,J87)</f>
        <v>9709.296305797845</v>
      </c>
      <c r="K90" s="265">
        <f>SUM(K88,K85,K81:K84,K79,K87)</f>
        <v>11593.574993433149</v>
      </c>
      <c r="L90" s="266"/>
      <c r="M90" s="265">
        <f>SUM(M88,M85,M81:M84,M79,M87)</f>
        <v>10246.305734121881</v>
      </c>
      <c r="N90" s="265">
        <f>SUM(N88,N85,N81:N84,N79,N87)</f>
        <v>9497.3233649404319</v>
      </c>
      <c r="O90" s="265">
        <f>SUM(O88,O85,O81:O84,O79,O87)</f>
        <v>10714.483098276247</v>
      </c>
      <c r="P90" s="265">
        <f>SUM(P88,P85,P81:P84,P79,P87)</f>
        <v>11904.614861803353</v>
      </c>
      <c r="Q90" s="266"/>
      <c r="R90" s="265">
        <f>SUM(R88,R85,R81:R84,R79,R87)</f>
        <v>9712.2866051384372</v>
      </c>
      <c r="S90" s="265">
        <f>SUM(S88,S85,S81:S84,S79,S87)</f>
        <v>9923.4578710644673</v>
      </c>
      <c r="T90" s="265">
        <f>SUM(T88,T85,T81:T84,T79,T87)</f>
        <v>9958.2942402918943</v>
      </c>
      <c r="U90" s="265">
        <f>SUM(U88,U85,U81:U84,U79,U87)</f>
        <v>11847.358009708738</v>
      </c>
      <c r="V90" s="266"/>
      <c r="W90" s="265">
        <f>SUM(W88,W85,W81:W84,W79,W87)</f>
        <v>11475.312154031288</v>
      </c>
      <c r="X90" s="265">
        <f>SUM(X88,X85,X81:X84,X79,X87)</f>
        <v>11297.125662544169</v>
      </c>
      <c r="Y90" s="265">
        <f>SUM(Y88,Y85,Y81:Y84,Y79,Y87)</f>
        <v>11561.099498495487</v>
      </c>
      <c r="Z90" s="265">
        <f>SUM(Z88,Z85,Z81:Z84,Z79,Z87)</f>
        <v>13162.175038343557</v>
      </c>
      <c r="AA90" s="266"/>
      <c r="AB90" s="265">
        <f>SUM(AB88,AB85,AB81:AB84,AB79,AB87)</f>
        <v>11928.106482382715</v>
      </c>
      <c r="AC90" s="265">
        <f>SUM(AC88,AC85,AC81:AC84,AC79,AC87)</f>
        <v>12085.122382079768</v>
      </c>
      <c r="AD90" s="265">
        <f>SUM(AD88,AD85,AD81:AD84,AD79,AD87)</f>
        <v>13476.183113273106</v>
      </c>
      <c r="AE90" s="265">
        <f>SUM(AE88,AE85,AE81:AE84,AE79,AE87)</f>
        <v>14171.190991920234</v>
      </c>
      <c r="AF90" s="277"/>
      <c r="AG90" s="280">
        <f>SUM(AG88,AG85,AG81:AG84,AG79,AG87)</f>
        <v>14278.088935138039</v>
      </c>
      <c r="AH90" s="280">
        <f t="shared" ref="AH90:AJ90" si="171">SUM(AH88,AH85,AH81:AH84,AH79,AH87)</f>
        <v>15039.020566904299</v>
      </c>
      <c r="AI90" s="280">
        <f t="shared" si="171"/>
        <v>15391.24970726934</v>
      </c>
      <c r="AJ90" s="280">
        <f t="shared" si="171"/>
        <v>15508.60286833707</v>
      </c>
      <c r="AK90" s="277"/>
    </row>
    <row r="91" spans="1:37" x14ac:dyDescent="0.25">
      <c r="A91" s="207"/>
      <c r="AE91" s="55"/>
      <c r="AF91" s="177"/>
      <c r="AG91" s="55"/>
      <c r="AH91" s="55"/>
      <c r="AI91" s="55"/>
      <c r="AJ91" s="55"/>
      <c r="AK91" s="177"/>
    </row>
    <row r="92" spans="1:37" x14ac:dyDescent="0.25">
      <c r="A92" s="210" t="s">
        <v>191</v>
      </c>
      <c r="C92" s="253">
        <v>83</v>
      </c>
      <c r="D92" s="253">
        <v>140</v>
      </c>
      <c r="E92" s="253">
        <v>139</v>
      </c>
      <c r="F92" s="253">
        <v>106</v>
      </c>
      <c r="G92" s="254"/>
      <c r="H92" s="253">
        <v>64</v>
      </c>
      <c r="I92" s="253">
        <v>58</v>
      </c>
      <c r="J92" s="253">
        <v>50</v>
      </c>
      <c r="K92" s="253">
        <v>67</v>
      </c>
      <c r="L92" s="254"/>
      <c r="M92" s="253">
        <v>61</v>
      </c>
      <c r="N92" s="253">
        <v>95</v>
      </c>
      <c r="O92" s="253">
        <v>97</v>
      </c>
      <c r="P92" s="253">
        <v>85</v>
      </c>
      <c r="Q92" s="254"/>
      <c r="R92" s="253">
        <v>82</v>
      </c>
      <c r="S92" s="253">
        <v>83</v>
      </c>
      <c r="T92" s="253">
        <v>86</v>
      </c>
      <c r="U92" s="253">
        <v>86</v>
      </c>
      <c r="V92" s="254"/>
      <c r="W92" s="253">
        <v>391</v>
      </c>
      <c r="X92" s="253">
        <v>394</v>
      </c>
      <c r="Y92" s="253">
        <v>374</v>
      </c>
      <c r="Z92" s="253">
        <v>395</v>
      </c>
      <c r="AA92" s="254"/>
      <c r="AB92" s="253">
        <v>386</v>
      </c>
      <c r="AC92" s="253">
        <v>371</v>
      </c>
      <c r="AD92" s="253">
        <v>346</v>
      </c>
      <c r="AE92" s="253">
        <v>393</v>
      </c>
      <c r="AF92" s="259"/>
      <c r="AG92" s="255">
        <f>AG93*AG40</f>
        <v>244.42311307733283</v>
      </c>
      <c r="AH92" s="255">
        <f t="shared" ref="AH92:AJ92" si="172">AH93*AH40</f>
        <v>368.92395468955345</v>
      </c>
      <c r="AI92" s="255">
        <f t="shared" si="172"/>
        <v>400.62888555986035</v>
      </c>
      <c r="AJ92" s="255">
        <f t="shared" si="172"/>
        <v>382.11777985770181</v>
      </c>
      <c r="AK92" s="259"/>
    </row>
    <row r="93" spans="1:37" s="41" customFormat="1" x14ac:dyDescent="0.25">
      <c r="A93" s="232" t="s">
        <v>192</v>
      </c>
      <c r="C93" s="225">
        <f>C92/C40</f>
        <v>0.20646766169154229</v>
      </c>
      <c r="D93" s="225">
        <f>D92/D40</f>
        <v>0.31076581576026635</v>
      </c>
      <c r="E93" s="225">
        <f>E92/E40</f>
        <v>0.27689243027888444</v>
      </c>
      <c r="F93" s="225">
        <f>F92/F40</f>
        <v>0.24036281179138322</v>
      </c>
      <c r="G93" s="234"/>
      <c r="H93" s="225">
        <f>H92/H40</f>
        <v>0.1887905604719764</v>
      </c>
      <c r="I93" s="225">
        <f>I92/I40</f>
        <v>0.14392059553349876</v>
      </c>
      <c r="J93" s="225">
        <f>J92/J40</f>
        <v>0.11441647597254005</v>
      </c>
      <c r="K93" s="225">
        <f>K92/K40</f>
        <v>0.18611111111111112</v>
      </c>
      <c r="L93" s="234"/>
      <c r="M93" s="225">
        <f>M92/M40</f>
        <v>0.16442048517520216</v>
      </c>
      <c r="N93" s="225">
        <f>N92/N40</f>
        <v>0.21640091116173121</v>
      </c>
      <c r="O93" s="225">
        <f>O92/O40</f>
        <v>0.21945701357466063</v>
      </c>
      <c r="P93" s="225">
        <f>P92/P40</f>
        <v>0.22666666666666666</v>
      </c>
      <c r="Q93" s="234"/>
      <c r="R93" s="225">
        <f>R92/R40</f>
        <v>0.27891156462585032</v>
      </c>
      <c r="S93" s="225">
        <f>S92/S40</f>
        <v>0.31086142322097376</v>
      </c>
      <c r="T93" s="225">
        <f>T92/T40</f>
        <v>0.21393034825870647</v>
      </c>
      <c r="U93" s="225">
        <f>U92/U40</f>
        <v>0.28289473684210525</v>
      </c>
      <c r="V93" s="234"/>
      <c r="W93" s="225">
        <f>W92/W40</f>
        <v>1.1014084507042254</v>
      </c>
      <c r="X93" s="225">
        <f>X92/X40</f>
        <v>1.0794520547945206</v>
      </c>
      <c r="Y93" s="225">
        <f>Y92/Y40</f>
        <v>0.949238578680203</v>
      </c>
      <c r="Z93" s="225">
        <f>Z92/Z40</f>
        <v>0.99246231155778897</v>
      </c>
      <c r="AA93" s="234"/>
      <c r="AB93" s="225">
        <f>AB92/AB40</f>
        <v>2.556291390728477</v>
      </c>
      <c r="AC93" s="225">
        <f>AC92/AC40</f>
        <v>0.6418685121107266</v>
      </c>
      <c r="AD93" s="225">
        <f>AD92/AD40</f>
        <v>0.55359999999999998</v>
      </c>
      <c r="AE93" s="225">
        <f>AE92/AE40</f>
        <v>0.69298480723384448</v>
      </c>
      <c r="AF93" s="278"/>
      <c r="AG93" s="227">
        <v>0.6</v>
      </c>
      <c r="AH93" s="227">
        <v>0.6</v>
      </c>
      <c r="AI93" s="227">
        <v>0.6</v>
      </c>
      <c r="AJ93" s="227">
        <v>0.6</v>
      </c>
      <c r="AK93" s="278"/>
    </row>
    <row r="94" spans="1:37" x14ac:dyDescent="0.25">
      <c r="A94" s="211" t="s">
        <v>188</v>
      </c>
      <c r="C94" s="253">
        <v>0</v>
      </c>
      <c r="D94" s="253">
        <v>0</v>
      </c>
      <c r="E94" s="253">
        <v>0</v>
      </c>
      <c r="F94" s="253">
        <v>0</v>
      </c>
      <c r="G94" s="254"/>
      <c r="H94" s="253">
        <v>0</v>
      </c>
      <c r="I94" s="253">
        <v>0</v>
      </c>
      <c r="J94" s="253">
        <v>0</v>
      </c>
      <c r="K94" s="253">
        <v>0</v>
      </c>
      <c r="L94" s="254"/>
      <c r="M94" s="253">
        <v>0</v>
      </c>
      <c r="N94" s="253">
        <v>0</v>
      </c>
      <c r="O94" s="253">
        <v>0</v>
      </c>
      <c r="P94" s="253">
        <v>0</v>
      </c>
      <c r="Q94" s="254"/>
      <c r="R94" s="253">
        <v>0</v>
      </c>
      <c r="S94" s="253">
        <v>0</v>
      </c>
      <c r="T94" s="253">
        <v>0</v>
      </c>
      <c r="U94" s="253">
        <v>0</v>
      </c>
      <c r="V94" s="254"/>
      <c r="W94" s="253">
        <v>0</v>
      </c>
      <c r="X94" s="253">
        <v>0</v>
      </c>
      <c r="Y94" s="253">
        <v>0</v>
      </c>
      <c r="Z94" s="253">
        <v>0</v>
      </c>
      <c r="AA94" s="254"/>
      <c r="AB94" s="253">
        <v>0</v>
      </c>
      <c r="AC94" s="253">
        <v>0</v>
      </c>
      <c r="AD94" s="253">
        <v>0</v>
      </c>
      <c r="AE94" s="253">
        <v>0</v>
      </c>
      <c r="AF94" s="259"/>
      <c r="AG94" s="255">
        <v>0</v>
      </c>
      <c r="AH94" s="255">
        <v>0</v>
      </c>
      <c r="AI94" s="255">
        <v>0</v>
      </c>
      <c r="AJ94" s="255">
        <v>0</v>
      </c>
      <c r="AK94" s="259"/>
    </row>
    <row r="95" spans="1:37" x14ac:dyDescent="0.25">
      <c r="A95" s="211" t="s">
        <v>179</v>
      </c>
      <c r="C95" s="253">
        <v>5216</v>
      </c>
      <c r="D95" s="253">
        <v>5326</v>
      </c>
      <c r="E95" s="253">
        <v>5393</v>
      </c>
      <c r="F95" s="253">
        <v>5424</v>
      </c>
      <c r="G95" s="254"/>
      <c r="H95" s="253">
        <v>6469</v>
      </c>
      <c r="I95" s="253">
        <v>5858</v>
      </c>
      <c r="J95" s="253">
        <v>5858</v>
      </c>
      <c r="K95" s="253">
        <v>5834</v>
      </c>
      <c r="L95" s="254"/>
      <c r="M95" s="253">
        <v>5799</v>
      </c>
      <c r="N95" s="253">
        <v>7806</v>
      </c>
      <c r="O95" s="253">
        <v>7735</v>
      </c>
      <c r="P95" s="253">
        <v>8527</v>
      </c>
      <c r="Q95" s="254"/>
      <c r="R95" s="253">
        <v>12466</v>
      </c>
      <c r="S95" s="253">
        <v>12498</v>
      </c>
      <c r="T95" s="253">
        <v>12574</v>
      </c>
      <c r="U95" s="253">
        <v>12023</v>
      </c>
      <c r="V95" s="254"/>
      <c r="W95" s="253">
        <v>13221</v>
      </c>
      <c r="X95" s="253">
        <v>13250</v>
      </c>
      <c r="Y95" s="253">
        <v>13211</v>
      </c>
      <c r="Z95" s="253">
        <v>13109</v>
      </c>
      <c r="AA95" s="254"/>
      <c r="AB95" s="253">
        <v>13868</v>
      </c>
      <c r="AC95" s="253">
        <v>13746</v>
      </c>
      <c r="AD95" s="253">
        <v>13577</v>
      </c>
      <c r="AE95" s="253">
        <v>13749</v>
      </c>
      <c r="AF95" s="259"/>
      <c r="AG95" s="255">
        <f>AE95</f>
        <v>13749</v>
      </c>
      <c r="AH95" s="255">
        <f t="shared" ref="AH95:AJ95" si="173">AG95</f>
        <v>13749</v>
      </c>
      <c r="AI95" s="255">
        <f t="shared" si="173"/>
        <v>13749</v>
      </c>
      <c r="AJ95" s="255">
        <f t="shared" si="173"/>
        <v>13749</v>
      </c>
      <c r="AK95" s="259"/>
    </row>
    <row r="96" spans="1:37" x14ac:dyDescent="0.25">
      <c r="A96" s="211" t="s">
        <v>180</v>
      </c>
      <c r="C96" s="253">
        <v>538</v>
      </c>
      <c r="D96" s="253">
        <v>842</v>
      </c>
      <c r="E96" s="253">
        <v>860</v>
      </c>
      <c r="F96" s="253">
        <v>1438</v>
      </c>
      <c r="G96" s="254"/>
      <c r="H96" s="253">
        <v>1661</v>
      </c>
      <c r="I96" s="253">
        <v>1750</v>
      </c>
      <c r="J96" s="253">
        <v>1856</v>
      </c>
      <c r="K96" s="253">
        <v>1877</v>
      </c>
      <c r="L96" s="254"/>
      <c r="M96" s="253">
        <v>2151</v>
      </c>
      <c r="N96" s="253">
        <v>2224</v>
      </c>
      <c r="O96" s="253">
        <v>2386</v>
      </c>
      <c r="P96" s="253">
        <v>2729</v>
      </c>
      <c r="Q96" s="254"/>
      <c r="R96" s="253">
        <v>2890</v>
      </c>
      <c r="S96" s="253">
        <v>3075</v>
      </c>
      <c r="T96" s="253">
        <v>3095</v>
      </c>
      <c r="U96" s="253">
        <v>3111</v>
      </c>
      <c r="V96" s="254"/>
      <c r="W96" s="253">
        <v>3260</v>
      </c>
      <c r="X96" s="253">
        <v>3401</v>
      </c>
      <c r="Y96" s="253">
        <v>3462</v>
      </c>
      <c r="Z96" s="253">
        <v>3591</v>
      </c>
      <c r="AA96" s="254"/>
      <c r="AB96" s="253">
        <v>3851</v>
      </c>
      <c r="AC96" s="253">
        <v>3767</v>
      </c>
      <c r="AD96" s="253">
        <v>3770</v>
      </c>
      <c r="AE96" s="253">
        <v>4034</v>
      </c>
      <c r="AF96" s="259"/>
      <c r="AG96" s="255">
        <f>AE96</f>
        <v>4034</v>
      </c>
      <c r="AH96" s="255">
        <f>AG96</f>
        <v>4034</v>
      </c>
      <c r="AI96" s="255">
        <f t="shared" ref="AI96:AJ96" si="174">AH96</f>
        <v>4034</v>
      </c>
      <c r="AJ96" s="255">
        <f t="shared" si="174"/>
        <v>4034</v>
      </c>
      <c r="AK96" s="259"/>
    </row>
    <row r="97" spans="1:37" x14ac:dyDescent="0.25">
      <c r="A97" s="216" t="s">
        <v>181</v>
      </c>
      <c r="C97" s="265">
        <f>SUM(C92,C94:C96,C90)</f>
        <v>12932.300658376007</v>
      </c>
      <c r="D97" s="265">
        <f t="shared" ref="D97:F97" si="175">SUM(D92,D94:D96,D90)</f>
        <v>13891.362266622993</v>
      </c>
      <c r="E97" s="265">
        <f t="shared" si="175"/>
        <v>14376.294879340789</v>
      </c>
      <c r="F97" s="265">
        <f t="shared" si="175"/>
        <v>15761.405495169081</v>
      </c>
      <c r="G97" s="267"/>
      <c r="H97" s="265">
        <f>SUM(H92,H94:H96,H90)</f>
        <v>17142.357541899441</v>
      </c>
      <c r="I97" s="265">
        <f t="shared" ref="I97" si="176">SUM(I92,I94:I96,I90)</f>
        <v>17121.336152796724</v>
      </c>
      <c r="J97" s="265">
        <f t="shared" ref="J97" si="177">SUM(J92,J94:J96,J90)</f>
        <v>17473.296305797845</v>
      </c>
      <c r="K97" s="265">
        <f t="shared" ref="K97" si="178">SUM(K92,K94:K96,K90)</f>
        <v>19371.574993433147</v>
      </c>
      <c r="L97" s="267"/>
      <c r="M97" s="265">
        <f>SUM(M92,M94:M96,M90)</f>
        <v>18257.305734121881</v>
      </c>
      <c r="N97" s="265">
        <f t="shared" ref="N97" si="179">SUM(N92,N94:N96,N90)</f>
        <v>19622.323364940432</v>
      </c>
      <c r="O97" s="265">
        <f t="shared" ref="O97" si="180">SUM(O92,O94:O96,O90)</f>
        <v>20932.483098276247</v>
      </c>
      <c r="P97" s="265">
        <f t="shared" ref="P97" si="181">SUM(P92,P94:P96,P90)</f>
        <v>23245.614861803355</v>
      </c>
      <c r="Q97" s="267"/>
      <c r="R97" s="265">
        <f>SUM(R92,R94:R96,R90)</f>
        <v>25150.286605138437</v>
      </c>
      <c r="S97" s="265">
        <f t="shared" ref="S97" si="182">SUM(S92,S94:S96,S90)</f>
        <v>25579.457871064467</v>
      </c>
      <c r="T97" s="265">
        <f t="shared" ref="T97" si="183">SUM(T92,T94:T96,T90)</f>
        <v>25713.294240291892</v>
      </c>
      <c r="U97" s="265">
        <f t="shared" ref="U97" si="184">SUM(U92,U94:U96,U90)</f>
        <v>27067.35800970874</v>
      </c>
      <c r="V97" s="267"/>
      <c r="W97" s="265">
        <f>SUM(W92,W94:W96,W90)</f>
        <v>28347.312154031286</v>
      </c>
      <c r="X97" s="265">
        <f t="shared" ref="X97" si="185">SUM(X92,X94:X96,X90)</f>
        <v>28342.125662544167</v>
      </c>
      <c r="Y97" s="265">
        <f t="shared" ref="Y97" si="186">SUM(Y92,Y94:Y96,Y90)</f>
        <v>28608.099498495489</v>
      </c>
      <c r="Z97" s="265">
        <f t="shared" ref="Z97" si="187">SUM(Z92,Z94:Z96,Z90)</f>
        <v>30257.175038343557</v>
      </c>
      <c r="AA97" s="267"/>
      <c r="AB97" s="265">
        <f>SUM(AB92,AB94:AB96,AB90)</f>
        <v>30033.106482382715</v>
      </c>
      <c r="AC97" s="265">
        <f t="shared" ref="AC97" si="188">SUM(AC92,AC94:AC96,AC90)</f>
        <v>29969.122382079768</v>
      </c>
      <c r="AD97" s="265">
        <f t="shared" ref="AD97" si="189">SUM(AD92,AD94:AD96,AD90)</f>
        <v>31169.183113273106</v>
      </c>
      <c r="AE97" s="265">
        <f t="shared" ref="AE97:AJ97" si="190">SUM(AE92,AE94:AE96,AE90)</f>
        <v>32347.190991920234</v>
      </c>
      <c r="AF97" s="282"/>
      <c r="AG97" s="280">
        <f t="shared" si="190"/>
        <v>32305.512048215372</v>
      </c>
      <c r="AH97" s="280">
        <f t="shared" si="190"/>
        <v>33190.944521593854</v>
      </c>
      <c r="AI97" s="280">
        <f t="shared" si="190"/>
        <v>33574.878592829205</v>
      </c>
      <c r="AJ97" s="280">
        <f t="shared" si="190"/>
        <v>33673.720648194772</v>
      </c>
      <c r="AK97" s="282"/>
    </row>
    <row r="98" spans="1:37" x14ac:dyDescent="0.25">
      <c r="A98" s="124"/>
      <c r="AE98" s="55"/>
      <c r="AF98" s="177"/>
      <c r="AG98" s="55"/>
      <c r="AH98" s="55"/>
      <c r="AI98" s="55"/>
      <c r="AJ98" s="55"/>
      <c r="AK98" s="177"/>
    </row>
    <row r="99" spans="1:37" x14ac:dyDescent="0.25">
      <c r="A99" s="238" t="s">
        <v>194</v>
      </c>
      <c r="C99" s="3"/>
      <c r="D99" s="3"/>
      <c r="E99" s="3"/>
      <c r="F99" s="3"/>
      <c r="G99" s="176"/>
      <c r="H99" s="3"/>
      <c r="I99" s="3"/>
      <c r="J99" s="3"/>
      <c r="K99" s="3"/>
      <c r="L99" s="176"/>
      <c r="M99" s="3"/>
      <c r="N99" s="3"/>
      <c r="O99" s="3"/>
      <c r="P99" s="3"/>
      <c r="Q99" s="176"/>
      <c r="R99" s="3"/>
      <c r="S99" s="3"/>
      <c r="T99" s="3"/>
      <c r="U99" s="3"/>
      <c r="V99" s="176"/>
      <c r="W99" s="3"/>
      <c r="X99" s="3"/>
      <c r="Y99" s="3"/>
      <c r="Z99" s="3"/>
      <c r="AA99" s="176"/>
      <c r="AB99" s="3"/>
      <c r="AC99" s="3"/>
      <c r="AD99" s="3"/>
      <c r="AE99" s="236"/>
      <c r="AF99" s="277"/>
      <c r="AG99" s="236"/>
      <c r="AH99" s="236"/>
      <c r="AI99" s="236"/>
      <c r="AJ99" s="236"/>
      <c r="AK99" s="277"/>
    </row>
    <row r="100" spans="1:37" x14ac:dyDescent="0.25">
      <c r="A100" s="210" t="s">
        <v>182</v>
      </c>
      <c r="C100">
        <v>0</v>
      </c>
      <c r="D100">
        <v>70</v>
      </c>
      <c r="E100">
        <v>70</v>
      </c>
      <c r="F100">
        <v>70</v>
      </c>
      <c r="H100">
        <v>70</v>
      </c>
      <c r="I100">
        <v>70</v>
      </c>
      <c r="J100">
        <v>71</v>
      </c>
      <c r="K100">
        <v>71</v>
      </c>
      <c r="M100">
        <v>73</v>
      </c>
      <c r="N100">
        <v>73</v>
      </c>
      <c r="O100">
        <v>73</v>
      </c>
      <c r="P100">
        <v>74</v>
      </c>
      <c r="R100">
        <v>75</v>
      </c>
      <c r="S100">
        <v>50</v>
      </c>
      <c r="T100">
        <v>25</v>
      </c>
      <c r="U100">
        <v>29</v>
      </c>
      <c r="W100">
        <v>28</v>
      </c>
      <c r="X100">
        <v>29</v>
      </c>
      <c r="Y100">
        <v>29</v>
      </c>
      <c r="Z100">
        <v>29</v>
      </c>
      <c r="AB100">
        <v>28</v>
      </c>
      <c r="AC100">
        <v>26</v>
      </c>
      <c r="AD100">
        <v>20</v>
      </c>
      <c r="AE100">
        <v>21</v>
      </c>
      <c r="AF100" s="177"/>
      <c r="AG100" s="55">
        <v>20</v>
      </c>
      <c r="AH100" s="55">
        <v>20</v>
      </c>
      <c r="AI100" s="55">
        <v>20</v>
      </c>
      <c r="AJ100" s="55">
        <v>20</v>
      </c>
      <c r="AK100" s="177"/>
    </row>
    <row r="101" spans="1:37" x14ac:dyDescent="0.25">
      <c r="A101" s="210"/>
      <c r="AE101" s="55"/>
      <c r="AF101" s="177"/>
      <c r="AG101" s="55"/>
      <c r="AH101" s="55"/>
      <c r="AI101" s="55"/>
      <c r="AJ101" s="55"/>
      <c r="AK101" s="177"/>
    </row>
    <row r="102" spans="1:37" x14ac:dyDescent="0.25">
      <c r="A102" s="210" t="s">
        <v>198</v>
      </c>
      <c r="C102" s="253">
        <v>4191</v>
      </c>
      <c r="D102" s="253">
        <v>4257</v>
      </c>
      <c r="E102" s="253">
        <v>4319</v>
      </c>
      <c r="F102" s="253">
        <v>4366</v>
      </c>
      <c r="G102" s="254"/>
      <c r="H102" s="253">
        <v>4368</v>
      </c>
      <c r="I102" s="253">
        <v>4454</v>
      </c>
      <c r="J102" s="253">
        <v>4526</v>
      </c>
      <c r="K102" s="253">
        <v>4580</v>
      </c>
      <c r="L102" s="254"/>
      <c r="M102" s="253">
        <v>4569</v>
      </c>
      <c r="N102" s="253">
        <v>4675</v>
      </c>
      <c r="O102" s="253">
        <v>4799</v>
      </c>
      <c r="P102" s="253">
        <v>4787</v>
      </c>
      <c r="Q102" s="254"/>
      <c r="R102" s="253">
        <v>4735</v>
      </c>
      <c r="S102" s="253">
        <v>4832</v>
      </c>
      <c r="T102" s="253">
        <v>4926</v>
      </c>
      <c r="U102" s="253">
        <v>4982</v>
      </c>
      <c r="V102" s="254"/>
      <c r="W102" s="253">
        <v>4949</v>
      </c>
      <c r="X102" s="253">
        <v>5053</v>
      </c>
      <c r="Y102" s="253">
        <v>5026</v>
      </c>
      <c r="Z102" s="253">
        <v>5061</v>
      </c>
      <c r="AA102" s="254"/>
      <c r="AB102" s="253">
        <v>5026</v>
      </c>
      <c r="AC102" s="253">
        <v>5163</v>
      </c>
      <c r="AD102" s="253">
        <v>5269</v>
      </c>
      <c r="AE102" s="378">
        <v>5298</v>
      </c>
      <c r="AF102" s="259"/>
      <c r="AG102" s="255">
        <f>AE102</f>
        <v>5298</v>
      </c>
      <c r="AH102" s="255">
        <f>AG102</f>
        <v>5298</v>
      </c>
      <c r="AI102" s="255">
        <f t="shared" ref="AI102:AJ102" si="191">AH102</f>
        <v>5298</v>
      </c>
      <c r="AJ102" s="255">
        <f t="shared" si="191"/>
        <v>5298</v>
      </c>
      <c r="AK102" s="259"/>
    </row>
    <row r="103" spans="1:37" x14ac:dyDescent="0.25">
      <c r="A103" s="210" t="s">
        <v>193</v>
      </c>
      <c r="C103" s="253">
        <v>-17980</v>
      </c>
      <c r="D103" s="253">
        <v>-18911</v>
      </c>
      <c r="E103" s="253">
        <v>-19735</v>
      </c>
      <c r="F103" s="253">
        <v>-20764</v>
      </c>
      <c r="G103" s="254"/>
      <c r="H103" s="253">
        <v>-22143</v>
      </c>
      <c r="I103" s="253">
        <v>-23650</v>
      </c>
      <c r="J103" s="253">
        <v>-24807</v>
      </c>
      <c r="K103" s="253">
        <v>-25750</v>
      </c>
      <c r="L103" s="254"/>
      <c r="M103" s="253">
        <v>-27534</v>
      </c>
      <c r="N103" s="253">
        <v>-29454</v>
      </c>
      <c r="O103" s="253">
        <v>-31207</v>
      </c>
      <c r="P103" s="253">
        <v>-32205</v>
      </c>
      <c r="Q103" s="254"/>
      <c r="R103" s="253">
        <v>-33531</v>
      </c>
      <c r="S103" s="253">
        <v>-33604</v>
      </c>
      <c r="T103" s="253">
        <v>-35653</v>
      </c>
      <c r="U103" s="253">
        <v>-36658</v>
      </c>
      <c r="V103" s="254"/>
      <c r="W103" s="253">
        <v>-38024</v>
      </c>
      <c r="X103" s="253">
        <v>-39729</v>
      </c>
      <c r="Y103" s="253">
        <v>-41282</v>
      </c>
      <c r="Z103" s="253">
        <v>-42588</v>
      </c>
      <c r="AA103" s="254"/>
      <c r="AB103" s="253">
        <v>-44994</v>
      </c>
      <c r="AC103" s="253">
        <v>-47359</v>
      </c>
      <c r="AD103" s="253">
        <v>-48916</v>
      </c>
      <c r="AE103" s="378">
        <v>-51354</v>
      </c>
      <c r="AF103" s="259"/>
      <c r="AG103" s="255">
        <f>AE103+AG132</f>
        <v>-53054</v>
      </c>
      <c r="AH103" s="255">
        <f>AG103+AH132</f>
        <v>-54754</v>
      </c>
      <c r="AI103" s="255">
        <f>AH103+AI132</f>
        <v>-56454</v>
      </c>
      <c r="AJ103" s="255">
        <f>AI103+AJ132</f>
        <v>-58154</v>
      </c>
      <c r="AK103" s="259"/>
    </row>
    <row r="104" spans="1:37" x14ac:dyDescent="0.25">
      <c r="A104" s="210" t="s">
        <v>195</v>
      </c>
      <c r="C104" s="253">
        <v>20263</v>
      </c>
      <c r="D104" s="253">
        <v>21205</v>
      </c>
      <c r="E104" s="253">
        <v>22401</v>
      </c>
      <c r="F104" s="253">
        <v>22364</v>
      </c>
      <c r="G104" s="254"/>
      <c r="H104" s="253">
        <v>23852</v>
      </c>
      <c r="I104" s="253">
        <v>25086</v>
      </c>
      <c r="J104" s="253">
        <v>26726</v>
      </c>
      <c r="K104" s="253">
        <v>27283</v>
      </c>
      <c r="L104" s="254"/>
      <c r="M104" s="253">
        <v>28806</v>
      </c>
      <c r="N104" s="253">
        <v>30517</v>
      </c>
      <c r="O104" s="253">
        <v>32289</v>
      </c>
      <c r="P104" s="253">
        <v>33984</v>
      </c>
      <c r="Q104" s="254"/>
      <c r="R104" s="253">
        <v>35273</v>
      </c>
      <c r="S104" s="253">
        <v>36288</v>
      </c>
      <c r="T104" s="253">
        <v>37403</v>
      </c>
      <c r="U104" s="253">
        <v>38747</v>
      </c>
      <c r="V104" s="254"/>
      <c r="W104" s="253">
        <v>40140</v>
      </c>
      <c r="X104" s="253">
        <v>41771</v>
      </c>
      <c r="Y104" s="253">
        <v>43750</v>
      </c>
      <c r="Z104" s="253">
        <v>45648</v>
      </c>
      <c r="AA104" s="254"/>
      <c r="AB104" s="253">
        <v>47800</v>
      </c>
      <c r="AC104" s="253">
        <v>49599</v>
      </c>
      <c r="AD104" s="253">
        <v>51625</v>
      </c>
      <c r="AE104" s="378">
        <v>53607</v>
      </c>
      <c r="AF104" s="259"/>
      <c r="AG104" s="255">
        <f>AE104+AG43+AG133</f>
        <v>54992.805117809381</v>
      </c>
      <c r="AH104" s="255">
        <f>AG104+AH43+AH133</f>
        <v>57323.894403415252</v>
      </c>
      <c r="AI104" s="255">
        <f t="shared" ref="AI104:AJ104" si="192">AH104+AI43+AI133</f>
        <v>59895.706312295675</v>
      </c>
      <c r="AJ104" s="255">
        <f t="shared" si="192"/>
        <v>62326.970937141188</v>
      </c>
      <c r="AK104" s="259"/>
    </row>
    <row r="105" spans="1:37" x14ac:dyDescent="0.25">
      <c r="A105" s="210" t="s">
        <v>196</v>
      </c>
      <c r="C105" s="253">
        <v>-863</v>
      </c>
      <c r="D105" s="253">
        <v>-699</v>
      </c>
      <c r="E105" s="253">
        <v>-542</v>
      </c>
      <c r="F105" s="253">
        <v>-497</v>
      </c>
      <c r="G105" s="254"/>
      <c r="H105" s="253">
        <v>-373</v>
      </c>
      <c r="I105" s="253">
        <v>-632</v>
      </c>
      <c r="J105" s="253">
        <v>-670</v>
      </c>
      <c r="K105" s="253">
        <v>-718</v>
      </c>
      <c r="L105" s="254"/>
      <c r="M105" s="253">
        <v>-673</v>
      </c>
      <c r="N105" s="253">
        <v>-730</v>
      </c>
      <c r="O105" s="253">
        <v>-858</v>
      </c>
      <c r="P105" s="253">
        <v>-673</v>
      </c>
      <c r="Q105" s="254"/>
      <c r="R105" s="253">
        <v>-1079</v>
      </c>
      <c r="S105" s="253">
        <v>-1046</v>
      </c>
      <c r="T105" s="253">
        <v>-880</v>
      </c>
      <c r="U105" s="253">
        <v>-680</v>
      </c>
      <c r="V105" s="254"/>
      <c r="W105" s="253">
        <v>-738</v>
      </c>
      <c r="X105" s="253">
        <v>-653</v>
      </c>
      <c r="Y105" s="253">
        <v>-791</v>
      </c>
      <c r="Z105" s="253">
        <v>-809</v>
      </c>
      <c r="AA105" s="254"/>
      <c r="AB105" s="253">
        <v>-798</v>
      </c>
      <c r="AC105" s="253">
        <v>-1232</v>
      </c>
      <c r="AD105" s="253">
        <v>-1617</v>
      </c>
      <c r="AE105" s="378">
        <v>-1253</v>
      </c>
      <c r="AF105" s="259"/>
      <c r="AG105" s="255">
        <f>AE105</f>
        <v>-1253</v>
      </c>
      <c r="AH105" s="255">
        <f>AG105</f>
        <v>-1253</v>
      </c>
      <c r="AI105" s="255">
        <f t="shared" ref="AI105:AJ105" si="193">AH105</f>
        <v>-1253</v>
      </c>
      <c r="AJ105" s="255">
        <f t="shared" si="193"/>
        <v>-1253</v>
      </c>
      <c r="AK105" s="259"/>
    </row>
    <row r="106" spans="1:37" x14ac:dyDescent="0.25">
      <c r="A106" s="210" t="s">
        <v>199</v>
      </c>
      <c r="C106" s="253">
        <f>C107-SUM(C100:C105)</f>
        <v>27</v>
      </c>
      <c r="D106" s="253">
        <f>D107-SUM(D100:D105)</f>
        <v>-44</v>
      </c>
      <c r="E106" s="253">
        <f>E107-SUM(E100:E105)</f>
        <v>-45</v>
      </c>
      <c r="F106" s="253">
        <f>F107-SUM(F100:F105)</f>
        <v>-41</v>
      </c>
      <c r="G106" s="254"/>
      <c r="H106" s="253">
        <f>H107-SUM(H100:H105)</f>
        <v>-42</v>
      </c>
      <c r="I106" s="253">
        <f>I107-SUM(I100:I105)</f>
        <v>-48</v>
      </c>
      <c r="J106" s="253">
        <f>J107-SUM(J100:J105)</f>
        <v>-50</v>
      </c>
      <c r="K106" s="253">
        <f>K107-SUM(K100:K105)</f>
        <v>-48</v>
      </c>
      <c r="L106" s="254"/>
      <c r="M106" s="253">
        <f>M107-SUM(M100:M105)</f>
        <v>-51</v>
      </c>
      <c r="N106" s="253">
        <f>N107-SUM(N100:N105)</f>
        <v>-45</v>
      </c>
      <c r="O106" s="253">
        <f>O107-SUM(O100:O105)</f>
        <v>-120</v>
      </c>
      <c r="P106" s="253">
        <f>P107-SUM(P100:P105)</f>
        <v>-50</v>
      </c>
      <c r="Q106" s="254"/>
      <c r="R106" s="253">
        <f>R107-SUM(R100:R105)</f>
        <v>-50</v>
      </c>
      <c r="S106" s="253">
        <f>S107-SUM(S100:S105)</f>
        <v>-22</v>
      </c>
      <c r="T106" s="253">
        <f>T107-SUM(T100:T105)</f>
        <v>35</v>
      </c>
      <c r="U106" s="253">
        <f>U107-SUM(U100:U105)</f>
        <v>68</v>
      </c>
      <c r="V106" s="254"/>
      <c r="W106" s="253">
        <f>W107-SUM(W100:W105)</f>
        <v>70</v>
      </c>
      <c r="X106" s="253">
        <f>X107-SUM(X100:X105)</f>
        <v>69</v>
      </c>
      <c r="Y106" s="253">
        <f>Y107-SUM(Y100:Y105)</f>
        <v>41</v>
      </c>
      <c r="Z106" s="253">
        <f>Z107-SUM(Z100:Z105)</f>
        <v>42</v>
      </c>
      <c r="AA106" s="254"/>
      <c r="AB106" s="253">
        <f>AB107-SUM(AB100:AB105)</f>
        <v>40</v>
      </c>
      <c r="AC106" s="253">
        <f>AC107-SUM(AC100:AC105)</f>
        <v>39</v>
      </c>
      <c r="AD106" s="253">
        <f>AD107-SUM(AD100:AD105)</f>
        <v>42</v>
      </c>
      <c r="AE106" s="378">
        <v>58</v>
      </c>
      <c r="AF106" s="259"/>
      <c r="AG106" s="255">
        <f>AE106</f>
        <v>58</v>
      </c>
      <c r="AH106" s="255">
        <f>AG106</f>
        <v>58</v>
      </c>
      <c r="AI106" s="255">
        <f t="shared" ref="AI106:AJ106" si="194">AH106</f>
        <v>58</v>
      </c>
      <c r="AJ106" s="255">
        <f t="shared" si="194"/>
        <v>58</v>
      </c>
      <c r="AK106" s="259"/>
    </row>
    <row r="107" spans="1:37" s="34" customFormat="1" x14ac:dyDescent="0.25">
      <c r="A107" s="268" t="s">
        <v>200</v>
      </c>
      <c r="C107" s="269">
        <v>5638</v>
      </c>
      <c r="D107" s="269">
        <v>5878</v>
      </c>
      <c r="E107" s="269">
        <v>6468</v>
      </c>
      <c r="F107" s="269">
        <v>5498</v>
      </c>
      <c r="G107" s="270"/>
      <c r="H107" s="269">
        <v>5732</v>
      </c>
      <c r="I107" s="269">
        <v>5280</v>
      </c>
      <c r="J107" s="269">
        <v>5796</v>
      </c>
      <c r="K107" s="269">
        <v>5418</v>
      </c>
      <c r="L107" s="270"/>
      <c r="M107" s="269">
        <v>5190</v>
      </c>
      <c r="N107" s="269">
        <v>5036</v>
      </c>
      <c r="O107" s="269">
        <v>4976</v>
      </c>
      <c r="P107" s="269">
        <v>5917</v>
      </c>
      <c r="Q107" s="270"/>
      <c r="R107" s="269">
        <v>5423</v>
      </c>
      <c r="S107" s="269">
        <v>6498</v>
      </c>
      <c r="T107" s="269">
        <v>5856</v>
      </c>
      <c r="U107" s="269">
        <v>6488</v>
      </c>
      <c r="V107" s="270"/>
      <c r="W107" s="269">
        <v>6425</v>
      </c>
      <c r="X107" s="269">
        <v>6540</v>
      </c>
      <c r="Y107" s="269">
        <v>6773</v>
      </c>
      <c r="Z107" s="269">
        <v>7383</v>
      </c>
      <c r="AA107" s="270"/>
      <c r="AB107" s="269">
        <v>7102</v>
      </c>
      <c r="AC107" s="269">
        <v>6236</v>
      </c>
      <c r="AD107" s="269">
        <v>6423</v>
      </c>
      <c r="AE107" s="381">
        <f>SUM(AE102:AE106)</f>
        <v>6356</v>
      </c>
      <c r="AF107" s="283"/>
      <c r="AG107" s="275">
        <f>SUM(AG102:AG106)</f>
        <v>6041.805117809381</v>
      </c>
      <c r="AH107" s="275">
        <f t="shared" ref="AH107:AJ107" si="195">SUM(AH102:AH106)</f>
        <v>6672.8944034152519</v>
      </c>
      <c r="AI107" s="275">
        <f t="shared" si="195"/>
        <v>7544.7063122956752</v>
      </c>
      <c r="AJ107" s="275">
        <f t="shared" si="195"/>
        <v>8275.9709371411882</v>
      </c>
      <c r="AK107" s="283"/>
    </row>
    <row r="108" spans="1:37" x14ac:dyDescent="0.25">
      <c r="AC108" s="253"/>
      <c r="AD108" s="253"/>
      <c r="AE108" s="55"/>
      <c r="AF108" s="177"/>
      <c r="AG108" s="55"/>
      <c r="AH108" s="55"/>
      <c r="AI108" s="55"/>
      <c r="AJ108" s="55"/>
      <c r="AK108" s="177"/>
    </row>
    <row r="109" spans="1:37" x14ac:dyDescent="0.25">
      <c r="A109" s="216" t="s">
        <v>183</v>
      </c>
      <c r="C109" s="260">
        <f>ROUND(SUM(C107,C97,C100),0)</f>
        <v>18570</v>
      </c>
      <c r="D109" s="260">
        <f t="shared" ref="D109:F109" si="196">ROUND(SUM(D107,D97,D100),0)</f>
        <v>19839</v>
      </c>
      <c r="E109" s="260">
        <f t="shared" si="196"/>
        <v>20914</v>
      </c>
      <c r="F109" s="260">
        <f t="shared" si="196"/>
        <v>21329</v>
      </c>
      <c r="G109" s="176"/>
      <c r="H109" s="260">
        <f>ROUND(SUM(H107,H97,H100),0)</f>
        <v>22944</v>
      </c>
      <c r="I109" s="260">
        <f t="shared" ref="I109:J109" si="197">ROUND(SUM(I107,I97,I100),0)</f>
        <v>22471</v>
      </c>
      <c r="J109" s="260">
        <f t="shared" si="197"/>
        <v>23340</v>
      </c>
      <c r="K109" s="260">
        <f>ROUND(SUM(K107,K97,K100),0)-1</f>
        <v>24860</v>
      </c>
      <c r="L109" s="176"/>
      <c r="M109" s="260">
        <f>ROUND(SUM(M107,M97,M100),0)</f>
        <v>23520</v>
      </c>
      <c r="N109" s="260">
        <f t="shared" ref="N109:O109" si="198">ROUND(SUM(N107,N97,N100),0)</f>
        <v>24731</v>
      </c>
      <c r="O109" s="260">
        <f t="shared" si="198"/>
        <v>25981</v>
      </c>
      <c r="P109" s="260">
        <f>ROUND(SUM(P107,P97,P100),0)-1</f>
        <v>29236</v>
      </c>
      <c r="Q109" s="176"/>
      <c r="R109" s="260">
        <f>ROUND(SUM(R107,R97,R100),0)</f>
        <v>30648</v>
      </c>
      <c r="S109" s="260">
        <f t="shared" ref="S109:U109" si="199">ROUND(SUM(S107,S97,S100),0)</f>
        <v>32127</v>
      </c>
      <c r="T109" s="260">
        <f t="shared" si="199"/>
        <v>31594</v>
      </c>
      <c r="U109" s="260">
        <f t="shared" si="199"/>
        <v>33584</v>
      </c>
      <c r="V109" s="176"/>
      <c r="W109" s="260">
        <f>ROUND(SUM(W107,W97,W100),0)</f>
        <v>34800</v>
      </c>
      <c r="X109" s="260">
        <f t="shared" ref="X109:Z109" si="200">ROUND(SUM(X107,X97,X100),0)</f>
        <v>34911</v>
      </c>
      <c r="Y109" s="260">
        <f t="shared" si="200"/>
        <v>35410</v>
      </c>
      <c r="Z109" s="260">
        <f t="shared" si="200"/>
        <v>37669</v>
      </c>
      <c r="AA109" s="176"/>
      <c r="AB109" s="260">
        <f>ROUND(SUM(AB107,AB97,AB100),0)</f>
        <v>37163</v>
      </c>
      <c r="AC109" s="260">
        <f t="shared" ref="AC109:AD109" si="201">ROUND(SUM(AC107,AC97,AC100),0)</f>
        <v>36231</v>
      </c>
      <c r="AD109" s="260">
        <f t="shared" si="201"/>
        <v>37612</v>
      </c>
      <c r="AE109" s="260">
        <f>ROUND(SUM(AE107,AE97,AE100),0)</f>
        <v>38724</v>
      </c>
      <c r="AF109" s="277"/>
      <c r="AG109" s="281">
        <f>ROUND(SUM(AG107,AG97,AG100),0)</f>
        <v>38367</v>
      </c>
      <c r="AH109" s="281">
        <f>ROUND(SUM(AH107,AH97,AH100),0)</f>
        <v>39884</v>
      </c>
      <c r="AI109" s="281">
        <f t="shared" ref="AI109:AJ109" si="202">ROUND(SUM(AI107,AI97,AI100),0)</f>
        <v>41140</v>
      </c>
      <c r="AJ109" s="281">
        <f t="shared" si="202"/>
        <v>41970</v>
      </c>
      <c r="AK109" s="277"/>
    </row>
    <row r="110" spans="1:37" x14ac:dyDescent="0.25">
      <c r="A110" s="210" t="s">
        <v>197</v>
      </c>
      <c r="C110">
        <f>IF(C109=C75, 1, 2)</f>
        <v>1</v>
      </c>
      <c r="D110">
        <f>IF(D109=D75, 1, 2)</f>
        <v>1</v>
      </c>
      <c r="E110">
        <f>IF(E109=E75, 1, 2)</f>
        <v>1</v>
      </c>
      <c r="F110">
        <f>IF(F109=F75, 1, 2)</f>
        <v>1</v>
      </c>
      <c r="H110">
        <f>IF(H109=H75, 1, 2)</f>
        <v>1</v>
      </c>
      <c r="I110">
        <f>IF(I109=I75, 1, 2)</f>
        <v>1</v>
      </c>
      <c r="J110">
        <f>IF(J109=J75, 1, 2)</f>
        <v>1</v>
      </c>
      <c r="K110">
        <f>IF(K109=K75, 1, 2)</f>
        <v>1</v>
      </c>
      <c r="M110">
        <f>IF(M109=M75, 1, 2)</f>
        <v>1</v>
      </c>
      <c r="N110">
        <f>IF(N109=N75, 1, 2)</f>
        <v>1</v>
      </c>
      <c r="O110">
        <f>IF(O109=O75, 1, 2)</f>
        <v>1</v>
      </c>
      <c r="P110">
        <f>IF(P109=P75, 1, 2)</f>
        <v>1</v>
      </c>
      <c r="R110">
        <f>IF(R109=R75, 1, 2)</f>
        <v>1</v>
      </c>
      <c r="S110">
        <f>IF(S109=S75, 1, 2)</f>
        <v>1</v>
      </c>
      <c r="T110">
        <f>IF(T109=T75, 1, 2)</f>
        <v>1</v>
      </c>
      <c r="U110">
        <f>IF(U109=U75, 1, 2)</f>
        <v>1</v>
      </c>
      <c r="W110">
        <f>IF(W109=W75, 1, 2)</f>
        <v>1</v>
      </c>
      <c r="X110">
        <f>IF(X109=X75, 1, 2)</f>
        <v>1</v>
      </c>
      <c r="Y110">
        <f>IF(Y109=Y75, 1, 2)</f>
        <v>1</v>
      </c>
      <c r="Z110">
        <f>IF(Z109=Z75, 1, 2)</f>
        <v>1</v>
      </c>
      <c r="AB110">
        <f>IF(AB109=AB75, 1, 2)</f>
        <v>1</v>
      </c>
      <c r="AC110">
        <f>IF(AC109=AC75, 1, 2)</f>
        <v>1</v>
      </c>
      <c r="AD110">
        <f>IF(AD109=AD75, 1, 2)</f>
        <v>1</v>
      </c>
      <c r="AE110" s="55">
        <f>IF(AE109=AE75, 1, 2)</f>
        <v>1</v>
      </c>
      <c r="AF110" s="177"/>
      <c r="AG110" s="55">
        <f>IF(AG109=AG75, 1, 2)</f>
        <v>1</v>
      </c>
      <c r="AH110" s="55">
        <f>IF(AH109=AH75, 1, 2)</f>
        <v>1</v>
      </c>
      <c r="AI110" s="55">
        <f>IF(AI109=AI75, 1, 2)</f>
        <v>1</v>
      </c>
      <c r="AJ110" s="55">
        <f>IF(AJ109=AJ75, 1, 2)</f>
        <v>1</v>
      </c>
      <c r="AK110" s="177"/>
    </row>
    <row r="111" spans="1:37" x14ac:dyDescent="0.25">
      <c r="AE111" s="255"/>
      <c r="AF111" s="177"/>
      <c r="AG111" s="255"/>
      <c r="AH111" s="255"/>
      <c r="AI111" s="255"/>
      <c r="AJ111" s="255"/>
      <c r="AK111" s="177"/>
    </row>
    <row r="112" spans="1:37" x14ac:dyDescent="0.25">
      <c r="AE112" s="55"/>
      <c r="AF112" s="177"/>
      <c r="AG112" s="55"/>
      <c r="AH112" s="55"/>
      <c r="AI112" s="55"/>
      <c r="AJ112" s="55"/>
      <c r="AK112" s="177"/>
    </row>
    <row r="113" spans="1:37" x14ac:dyDescent="0.25">
      <c r="AE113" s="55"/>
      <c r="AF113" s="177"/>
      <c r="AG113" s="55"/>
      <c r="AH113" s="55"/>
      <c r="AI113" s="55"/>
      <c r="AJ113" s="55"/>
      <c r="AK113" s="177"/>
    </row>
    <row r="114" spans="1:37" x14ac:dyDescent="0.25">
      <c r="A114" s="30" t="s">
        <v>219</v>
      </c>
      <c r="AE114" s="55"/>
      <c r="AF114" s="177"/>
      <c r="AG114" s="55"/>
      <c r="AH114" s="55"/>
      <c r="AI114" s="55"/>
      <c r="AJ114" s="55"/>
      <c r="AK114" s="177"/>
    </row>
    <row r="115" spans="1:37" x14ac:dyDescent="0.25">
      <c r="A115" s="271" t="s">
        <v>205</v>
      </c>
      <c r="AD115" s="253"/>
      <c r="AE115" s="55"/>
      <c r="AF115" s="177"/>
      <c r="AG115" s="55"/>
      <c r="AH115" s="55"/>
      <c r="AI115" s="55"/>
      <c r="AJ115" s="55"/>
      <c r="AK115" s="177"/>
    </row>
    <row r="116" spans="1:37" x14ac:dyDescent="0.25">
      <c r="A116" s="273" t="s">
        <v>201</v>
      </c>
      <c r="C116" s="253">
        <f>C162</f>
        <v>1081</v>
      </c>
      <c r="D116" s="253">
        <f>D162-C162</f>
        <v>1177</v>
      </c>
      <c r="E116" s="253">
        <f t="shared" ref="E116:F116" si="203">E162-D162</f>
        <v>1430</v>
      </c>
      <c r="F116" s="253">
        <f t="shared" si="203"/>
        <v>227</v>
      </c>
      <c r="G116" s="254">
        <f>SUM(C116:F116)</f>
        <v>3915</v>
      </c>
      <c r="H116" s="253">
        <f>H162</f>
        <v>1492</v>
      </c>
      <c r="I116" s="253">
        <f>I162-H162</f>
        <v>1569</v>
      </c>
      <c r="J116" s="253">
        <f t="shared" ref="J116:K116" si="204">J162-I162</f>
        <v>1899</v>
      </c>
      <c r="K116" s="253">
        <f t="shared" si="204"/>
        <v>899</v>
      </c>
      <c r="L116" s="254">
        <f>SUM(H116:K116)</f>
        <v>5859</v>
      </c>
      <c r="M116" s="253">
        <f>M162</f>
        <v>1862</v>
      </c>
      <c r="N116" s="253">
        <f>N162-M162</f>
        <v>2048</v>
      </c>
      <c r="O116" s="253">
        <f t="shared" ref="O116:P116" si="205">O162-N162</f>
        <v>2108</v>
      </c>
      <c r="P116" s="253">
        <f t="shared" si="205"/>
        <v>2100</v>
      </c>
      <c r="Q116" s="254">
        <f>SUM(M116:P116)</f>
        <v>8118</v>
      </c>
      <c r="R116" s="253">
        <f>R162</f>
        <v>1693</v>
      </c>
      <c r="S116" s="253">
        <f>S162-R162</f>
        <v>1420</v>
      </c>
      <c r="T116" s="253">
        <f t="shared" ref="T116:U116" si="206">T162-S162</f>
        <v>1513</v>
      </c>
      <c r="U116" s="253">
        <f t="shared" si="206"/>
        <v>1785</v>
      </c>
      <c r="V116" s="254">
        <f>SUM(R116:U116)</f>
        <v>6411</v>
      </c>
      <c r="W116" s="253">
        <f>W162</f>
        <v>1828</v>
      </c>
      <c r="X116" s="253">
        <f>X162-W162</f>
        <v>2066</v>
      </c>
      <c r="Y116" s="253">
        <f t="shared" ref="Y116:Z116" si="207">Y162-X162</f>
        <v>2414</v>
      </c>
      <c r="Z116" s="253">
        <f t="shared" si="207"/>
        <v>2379</v>
      </c>
      <c r="AA116" s="254">
        <f>SUM(W116:Z116)</f>
        <v>8687</v>
      </c>
      <c r="AB116" s="253">
        <f>AB162</f>
        <v>2631</v>
      </c>
      <c r="AC116" s="253">
        <f>AC162-AB162</f>
        <v>2275</v>
      </c>
      <c r="AD116" s="253">
        <f t="shared" ref="AD116:AE116" si="208">AD162-AC162</f>
        <v>2499</v>
      </c>
      <c r="AE116" s="253">
        <f t="shared" si="208"/>
        <v>2525</v>
      </c>
      <c r="AF116" s="384">
        <f>SUM(AB116:AE116)</f>
        <v>9930</v>
      </c>
      <c r="AG116" s="255">
        <f>AG43</f>
        <v>1855.8051178093792</v>
      </c>
      <c r="AH116" s="255">
        <f t="shared" ref="AH116:AJ116" si="209">AH43</f>
        <v>2801.089285605869</v>
      </c>
      <c r="AI116" s="255">
        <f t="shared" si="209"/>
        <v>3041.8119088804215</v>
      </c>
      <c r="AJ116" s="255">
        <f t="shared" si="209"/>
        <v>2901.2646248455135</v>
      </c>
      <c r="AK116" s="259">
        <f>SUM(AG116:AJ116)</f>
        <v>10599.970937141183</v>
      </c>
    </row>
    <row r="117" spans="1:37" x14ac:dyDescent="0.25">
      <c r="A117" s="273" t="s">
        <v>202</v>
      </c>
      <c r="C117" s="253">
        <f>C163</f>
        <v>92</v>
      </c>
      <c r="D117" s="253">
        <f>D163-C163</f>
        <v>111</v>
      </c>
      <c r="E117" s="253">
        <f t="shared" ref="E117:F117" si="210">E163-D163</f>
        <v>118</v>
      </c>
      <c r="F117" s="253">
        <f t="shared" si="210"/>
        <v>116</v>
      </c>
      <c r="G117" s="254">
        <f t="shared" ref="G117:G121" si="211">SUM(C117:F117)</f>
        <v>437</v>
      </c>
      <c r="H117" s="253">
        <f>H163-G163</f>
        <v>120</v>
      </c>
      <c r="I117" s="253">
        <f t="shared" ref="I117:K117" si="212">I163-H163</f>
        <v>115</v>
      </c>
      <c r="J117" s="253">
        <f t="shared" si="212"/>
        <v>111</v>
      </c>
      <c r="K117" s="253">
        <f t="shared" si="212"/>
        <v>113</v>
      </c>
      <c r="L117" s="254">
        <f t="shared" ref="L117:L121" si="213">SUM(H117:K117)</f>
        <v>459</v>
      </c>
      <c r="M117" s="253">
        <f>M163-L163</f>
        <v>117</v>
      </c>
      <c r="N117" s="253">
        <f t="shared" ref="N117:P117" si="214">N163-M163</f>
        <v>122</v>
      </c>
      <c r="O117" s="253">
        <f t="shared" si="214"/>
        <v>137</v>
      </c>
      <c r="P117" s="253">
        <f t="shared" si="214"/>
        <v>146</v>
      </c>
      <c r="Q117" s="254">
        <f t="shared" ref="Q117:Q121" si="215">SUM(M117:P117)</f>
        <v>522</v>
      </c>
      <c r="R117" s="253">
        <f>R163-Q163</f>
        <v>144</v>
      </c>
      <c r="S117" s="253">
        <f t="shared" ref="S117:U117" si="216">S163-R163</f>
        <v>145</v>
      </c>
      <c r="T117" s="253">
        <f t="shared" si="216"/>
        <v>141</v>
      </c>
      <c r="U117" s="253">
        <f t="shared" si="216"/>
        <v>150</v>
      </c>
      <c r="V117" s="254">
        <f t="shared" ref="V117:V121" si="217">SUM(R117:U117)</f>
        <v>580</v>
      </c>
      <c r="W117" s="253">
        <f>W163-V163</f>
        <v>163</v>
      </c>
      <c r="X117" s="253">
        <f t="shared" ref="X117:Z117" si="218">X163-W163</f>
        <v>186</v>
      </c>
      <c r="Y117" s="253">
        <f t="shared" si="218"/>
        <v>188</v>
      </c>
      <c r="Z117" s="253">
        <f t="shared" si="218"/>
        <v>189</v>
      </c>
      <c r="AA117" s="254">
        <f t="shared" ref="AA117:AA121" si="219">SUM(W117:Z117)</f>
        <v>726</v>
      </c>
      <c r="AB117" s="253">
        <f>AB163-AA163</f>
        <v>837</v>
      </c>
      <c r="AC117" s="253">
        <f t="shared" ref="AC117:AE117" si="220">AC163-AB163</f>
        <v>189</v>
      </c>
      <c r="AD117" s="253">
        <f t="shared" si="220"/>
        <v>185</v>
      </c>
      <c r="AE117" s="253">
        <f t="shared" si="220"/>
        <v>184</v>
      </c>
      <c r="AF117" s="384">
        <f t="shared" ref="AF117:AF121" si="221">SUM(AB117:AE117)</f>
        <v>1395</v>
      </c>
      <c r="AG117" s="255">
        <f>AG154</f>
        <v>863.78399999999999</v>
      </c>
      <c r="AH117" s="255">
        <f t="shared" ref="AH117:AJ117" si="222">AH154</f>
        <v>195.048</v>
      </c>
      <c r="AI117" s="255">
        <f t="shared" si="222"/>
        <v>190.92000000000002</v>
      </c>
      <c r="AJ117" s="255">
        <f t="shared" si="222"/>
        <v>189.88800000000001</v>
      </c>
      <c r="AK117" s="259">
        <f t="shared" ref="AK117:AK121" si="223">SUM(AG117:AJ117)</f>
        <v>1439.6399999999999</v>
      </c>
    </row>
    <row r="118" spans="1:37" x14ac:dyDescent="0.25">
      <c r="A118" s="273" t="s">
        <v>203</v>
      </c>
      <c r="C118" s="253">
        <v>0</v>
      </c>
      <c r="D118" s="253">
        <v>0</v>
      </c>
      <c r="E118" s="253">
        <v>0</v>
      </c>
      <c r="F118" s="253">
        <v>0</v>
      </c>
      <c r="G118" s="254">
        <f t="shared" si="211"/>
        <v>0</v>
      </c>
      <c r="H118" s="253">
        <v>0</v>
      </c>
      <c r="I118" s="253">
        <v>0</v>
      </c>
      <c r="J118" s="253">
        <v>0</v>
      </c>
      <c r="K118" s="253">
        <v>0</v>
      </c>
      <c r="L118" s="254">
        <f t="shared" si="213"/>
        <v>0</v>
      </c>
      <c r="M118" s="253">
        <v>0</v>
      </c>
      <c r="N118" s="253">
        <v>0</v>
      </c>
      <c r="O118" s="253">
        <v>0</v>
      </c>
      <c r="P118" s="253">
        <v>0</v>
      </c>
      <c r="Q118" s="254">
        <f t="shared" si="215"/>
        <v>0</v>
      </c>
      <c r="R118" s="253">
        <v>0</v>
      </c>
      <c r="S118" s="253">
        <v>0</v>
      </c>
      <c r="T118" s="253">
        <v>0</v>
      </c>
      <c r="U118" s="253">
        <v>0</v>
      </c>
      <c r="V118" s="254">
        <f t="shared" si="217"/>
        <v>0</v>
      </c>
      <c r="W118" s="253">
        <v>0</v>
      </c>
      <c r="X118" s="253">
        <v>0</v>
      </c>
      <c r="Y118" s="253">
        <v>0</v>
      </c>
      <c r="Z118" s="253">
        <v>0</v>
      </c>
      <c r="AA118" s="254">
        <f t="shared" si="219"/>
        <v>0</v>
      </c>
      <c r="AB118" s="253">
        <v>0</v>
      </c>
      <c r="AC118" s="253">
        <v>0</v>
      </c>
      <c r="AD118" s="253">
        <v>0</v>
      </c>
      <c r="AE118" s="255">
        <v>0</v>
      </c>
      <c r="AF118" s="384">
        <f t="shared" si="221"/>
        <v>0</v>
      </c>
      <c r="AG118" s="255"/>
      <c r="AH118" s="255"/>
      <c r="AI118" s="255"/>
      <c r="AJ118" s="255"/>
      <c r="AK118" s="259">
        <f t="shared" si="223"/>
        <v>0</v>
      </c>
    </row>
    <row r="119" spans="1:37" x14ac:dyDescent="0.25">
      <c r="A119" s="273" t="s">
        <v>204</v>
      </c>
      <c r="C119" s="253">
        <f>C121-SUM(C116:C118,C120)</f>
        <v>330</v>
      </c>
      <c r="D119" s="253">
        <f t="shared" ref="D119:F119" si="224">D121-SUM(D116:D118,D120)</f>
        <v>280</v>
      </c>
      <c r="E119" s="253">
        <f t="shared" si="224"/>
        <v>240</v>
      </c>
      <c r="F119" s="253">
        <f t="shared" si="224"/>
        <v>1201</v>
      </c>
      <c r="G119" s="254">
        <f t="shared" si="211"/>
        <v>2051</v>
      </c>
      <c r="H119" s="253">
        <f>H121-SUM(H116:H118,H120)</f>
        <v>255</v>
      </c>
      <c r="I119" s="253">
        <f t="shared" ref="I119" si="225">I121-SUM(I116:I118,I120)</f>
        <v>457</v>
      </c>
      <c r="J119" s="253">
        <f t="shared" ref="J119" si="226">J121-SUM(J116:J118,J120)</f>
        <v>279</v>
      </c>
      <c r="K119" s="253">
        <f t="shared" ref="K119" si="227">K121-SUM(K116:K118,K120)</f>
        <v>951</v>
      </c>
      <c r="L119" s="254">
        <f t="shared" si="213"/>
        <v>1942</v>
      </c>
      <c r="M119" s="253">
        <f>M121-SUM(M116:M118,M120)</f>
        <v>412</v>
      </c>
      <c r="N119" s="253">
        <f t="shared" ref="N119" si="228">N121-SUM(N116:N118,N120)</f>
        <v>-390</v>
      </c>
      <c r="O119" s="253">
        <f t="shared" ref="O119" si="229">O121-SUM(O116:O118,O120)</f>
        <v>506</v>
      </c>
      <c r="P119" s="253">
        <f t="shared" ref="P119" si="230">P121-SUM(P116:P118,P120)</f>
        <v>141</v>
      </c>
      <c r="Q119" s="254">
        <f t="shared" si="215"/>
        <v>669</v>
      </c>
      <c r="R119" s="253">
        <f>R121-SUM(R116:R118,R120)</f>
        <v>595</v>
      </c>
      <c r="S119" s="253">
        <f t="shared" ref="S119" si="231">S121-SUM(S116:S118,S120)</f>
        <v>213</v>
      </c>
      <c r="T119" s="253">
        <f t="shared" ref="T119" si="232">T121-SUM(T116:T118,T120)</f>
        <v>437</v>
      </c>
      <c r="U119" s="253">
        <f t="shared" ref="U119" si="233">U121-SUM(U116:U118,U120)</f>
        <v>352</v>
      </c>
      <c r="V119" s="254">
        <f t="shared" si="217"/>
        <v>1597</v>
      </c>
      <c r="W119" s="253">
        <f>W121-SUM(W116:W118,W120)</f>
        <v>-1011</v>
      </c>
      <c r="X119" s="253">
        <f t="shared" ref="X119" si="234">X121-SUM(X116:X118,X120)</f>
        <v>115</v>
      </c>
      <c r="Y119" s="253">
        <f t="shared" ref="Y119" si="235">Y121-SUM(Y116:Y118,Y120)</f>
        <v>55</v>
      </c>
      <c r="Z119" s="253">
        <f t="shared" ref="Z119" si="236">Z121-SUM(Z116:Z118,Z120)</f>
        <v>127</v>
      </c>
      <c r="AA119" s="254">
        <f t="shared" si="219"/>
        <v>-714</v>
      </c>
      <c r="AB119" s="253">
        <f>AB121-SUM(AB116:AB118,AB120)</f>
        <v>-1056</v>
      </c>
      <c r="AC119" s="253">
        <f t="shared" ref="AC119" si="237">AC121-SUM(AC116:AC118,AC120)</f>
        <v>543</v>
      </c>
      <c r="AD119" s="253">
        <f t="shared" ref="AD119:AE119" si="238">AD121-SUM(AD116:AD118,AD120)</f>
        <v>322</v>
      </c>
      <c r="AE119" s="253">
        <f t="shared" si="238"/>
        <v>365</v>
      </c>
      <c r="AF119" s="384">
        <f t="shared" si="221"/>
        <v>174</v>
      </c>
      <c r="AG119" s="255">
        <f>(AE69+AE72+AE74-AE88)-(AG69+AG72+AG74-AG88)</f>
        <v>-92.941715219725666</v>
      </c>
      <c r="AH119" s="255">
        <f t="shared" ref="AH119:AJ119" si="239">(AG69+AG72+AG74-AG88)-(AH69+AH72+AH74-AH88)</f>
        <v>122.88213160845407</v>
      </c>
      <c r="AI119" s="255">
        <f t="shared" si="239"/>
        <v>63.089892726909966</v>
      </c>
      <c r="AJ119" s="255">
        <f t="shared" si="239"/>
        <v>-60.37440150749535</v>
      </c>
      <c r="AK119" s="259">
        <f t="shared" si="223"/>
        <v>32.655907608143025</v>
      </c>
    </row>
    <row r="120" spans="1:37" x14ac:dyDescent="0.25">
      <c r="A120" s="292" t="s">
        <v>247</v>
      </c>
      <c r="C120" s="253">
        <f>SUM(C168:C174)</f>
        <v>-758</v>
      </c>
      <c r="D120" s="253">
        <f>SUM(D168:D174)-SUM(C168:C174)</f>
        <v>-274</v>
      </c>
      <c r="E120" s="253">
        <f t="shared" ref="E120:F120" si="240">SUM(E168:E174)-SUM(D168:D174)</f>
        <v>-33</v>
      </c>
      <c r="F120" s="253">
        <f t="shared" si="240"/>
        <v>217</v>
      </c>
      <c r="G120" s="254">
        <f t="shared" si="211"/>
        <v>-848</v>
      </c>
      <c r="H120" s="253">
        <f>SUM(H168:H174)-SUM(G168:G174)</f>
        <v>-832</v>
      </c>
      <c r="I120" s="253">
        <f t="shared" ref="I120:K120" si="241">SUM(I168:I174)-SUM(H168:H174)</f>
        <v>-652</v>
      </c>
      <c r="J120" s="253">
        <f t="shared" si="241"/>
        <v>78</v>
      </c>
      <c r="K120" s="253">
        <f t="shared" si="241"/>
        <v>-631</v>
      </c>
      <c r="L120" s="254">
        <f t="shared" si="213"/>
        <v>-2037</v>
      </c>
      <c r="M120" s="253">
        <f>SUM(M168:M174)-SUM(L168:L174)</f>
        <v>-1079</v>
      </c>
      <c r="N120" s="253">
        <f t="shared" ref="N120:P120" si="242">SUM(N168:N174)-SUM(M168:M174)</f>
        <v>-244</v>
      </c>
      <c r="O120" s="253">
        <f t="shared" si="242"/>
        <v>-396</v>
      </c>
      <c r="P120" s="253">
        <f t="shared" si="242"/>
        <v>593</v>
      </c>
      <c r="Q120" s="254">
        <f t="shared" si="215"/>
        <v>-1126</v>
      </c>
      <c r="R120" s="253">
        <f>SUM(R168:R174)-SUM(Q168:Q174)</f>
        <v>-573</v>
      </c>
      <c r="S120" s="253">
        <f t="shared" ref="S120:U120" si="243">SUM(S168:S174)-SUM(R168:R174)</f>
        <v>-320</v>
      </c>
      <c r="T120" s="253">
        <f t="shared" si="243"/>
        <v>-437</v>
      </c>
      <c r="U120" s="253">
        <f t="shared" si="243"/>
        <v>-34</v>
      </c>
      <c r="V120" s="254">
        <f t="shared" si="217"/>
        <v>-1364</v>
      </c>
      <c r="W120" s="253">
        <f>SUM(W168:W174)-SUM(U168:U174)</f>
        <v>483</v>
      </c>
      <c r="X120" s="253">
        <f>SUM(X168:X174)-SUM(W168:W174)</f>
        <v>-99</v>
      </c>
      <c r="Y120" s="253">
        <f>SUM(Y168:Y174)-SUM(X168:X174)</f>
        <v>-114</v>
      </c>
      <c r="Z120" s="253">
        <f>SUM(Z168:Z174)-SUM(Y168:Y174)</f>
        <v>494</v>
      </c>
      <c r="AA120" s="254">
        <f t="shared" si="219"/>
        <v>764</v>
      </c>
      <c r="AB120" s="253">
        <f>SUM(AB168:AB174)-SUM(Z168:Z174)</f>
        <v>-630</v>
      </c>
      <c r="AC120" s="253">
        <f t="shared" ref="AC120" si="244">SUM(AC168:AC174)-SUM(AB168:AB174)</f>
        <v>-550</v>
      </c>
      <c r="AD120" s="253">
        <f>SUM(AD168:AD174)-SUM(AC168:AC174)</f>
        <v>850</v>
      </c>
      <c r="AE120" s="253">
        <f>SUM(AE168:AE174)-SUM(AD168:AD174)</f>
        <v>26</v>
      </c>
      <c r="AF120" s="384">
        <f t="shared" si="221"/>
        <v>-304</v>
      </c>
      <c r="AG120" s="255">
        <f>AG157</f>
        <v>-243.49626213312695</v>
      </c>
      <c r="AH120" s="255">
        <f t="shared" ref="AH120:AJ120" si="245">AH157</f>
        <v>-173.86037806443164</v>
      </c>
      <c r="AI120" s="255">
        <f t="shared" si="245"/>
        <v>-67.522516885270306</v>
      </c>
      <c r="AJ120" s="255">
        <f t="shared" si="245"/>
        <v>183.38944153830198</v>
      </c>
      <c r="AK120" s="259">
        <f t="shared" si="223"/>
        <v>-301.48971554452692</v>
      </c>
    </row>
    <row r="121" spans="1:37" s="34" customFormat="1" x14ac:dyDescent="0.25">
      <c r="A121" s="285" t="s">
        <v>38</v>
      </c>
      <c r="C121" s="265">
        <f>C175</f>
        <v>745</v>
      </c>
      <c r="D121" s="265">
        <f>D175-C175</f>
        <v>1294</v>
      </c>
      <c r="E121" s="265">
        <f t="shared" ref="E121:F121" si="246">E175-D175</f>
        <v>1755</v>
      </c>
      <c r="F121" s="265">
        <f t="shared" si="246"/>
        <v>1761</v>
      </c>
      <c r="G121" s="261">
        <f t="shared" si="211"/>
        <v>5555</v>
      </c>
      <c r="H121" s="265">
        <f>H175</f>
        <v>1035</v>
      </c>
      <c r="I121" s="265">
        <f>I175-H175</f>
        <v>1489</v>
      </c>
      <c r="J121" s="265">
        <f t="shared" ref="J121:K121" si="247">J175-I175</f>
        <v>2367</v>
      </c>
      <c r="K121" s="265">
        <f t="shared" si="247"/>
        <v>1332</v>
      </c>
      <c r="L121" s="261">
        <f t="shared" si="213"/>
        <v>6223</v>
      </c>
      <c r="M121" s="265">
        <f>M175</f>
        <v>1312</v>
      </c>
      <c r="N121" s="265">
        <f>N175-M175</f>
        <v>1536</v>
      </c>
      <c r="O121" s="265">
        <f t="shared" ref="O121:P121" si="248">O175-N175</f>
        <v>2355</v>
      </c>
      <c r="P121" s="265">
        <f t="shared" si="248"/>
        <v>2980</v>
      </c>
      <c r="Q121" s="261">
        <f t="shared" si="215"/>
        <v>8183</v>
      </c>
      <c r="R121" s="265">
        <f>R175</f>
        <v>1859</v>
      </c>
      <c r="S121" s="265">
        <f>S175-R175</f>
        <v>1458</v>
      </c>
      <c r="T121" s="265">
        <f t="shared" ref="T121:U121" si="249">T175-S175</f>
        <v>1654</v>
      </c>
      <c r="U121" s="265">
        <f t="shared" si="249"/>
        <v>2253</v>
      </c>
      <c r="V121" s="261">
        <f t="shared" si="217"/>
        <v>7224</v>
      </c>
      <c r="W121" s="265">
        <f>W175</f>
        <v>1463</v>
      </c>
      <c r="X121" s="265">
        <f>X175-W175</f>
        <v>2268</v>
      </c>
      <c r="Y121" s="265">
        <f t="shared" ref="Y121:Z121" si="250">Y175-X175</f>
        <v>2543</v>
      </c>
      <c r="Z121" s="265">
        <f t="shared" si="250"/>
        <v>3189</v>
      </c>
      <c r="AA121" s="261">
        <f t="shared" si="219"/>
        <v>9463</v>
      </c>
      <c r="AB121" s="265">
        <f>AB175</f>
        <v>1782</v>
      </c>
      <c r="AC121" s="265">
        <f>AC175-AB175</f>
        <v>2457</v>
      </c>
      <c r="AD121" s="265">
        <f>AD175-AC175</f>
        <v>3856</v>
      </c>
      <c r="AE121" s="265">
        <f>AE175-AD175</f>
        <v>3100</v>
      </c>
      <c r="AF121" s="385">
        <f t="shared" si="221"/>
        <v>11195</v>
      </c>
      <c r="AG121" s="280">
        <f>SUM(AG116:AG120)</f>
        <v>2383.1511404565267</v>
      </c>
      <c r="AH121" s="280">
        <f t="shared" ref="AH121:AJ121" si="251">SUM(AH116:AH120)</f>
        <v>2945.1590391498912</v>
      </c>
      <c r="AI121" s="280">
        <f t="shared" si="251"/>
        <v>3228.2992847220612</v>
      </c>
      <c r="AJ121" s="280">
        <f t="shared" si="251"/>
        <v>3214.16766487632</v>
      </c>
      <c r="AK121" s="282">
        <f t="shared" si="223"/>
        <v>11770.7771292048</v>
      </c>
    </row>
    <row r="122" spans="1:37" s="34" customFormat="1" x14ac:dyDescent="0.25">
      <c r="C122" s="269"/>
      <c r="D122" s="269"/>
      <c r="E122" s="269"/>
      <c r="F122" s="269"/>
      <c r="G122" s="254"/>
      <c r="H122" s="269"/>
      <c r="I122" s="269"/>
      <c r="J122" s="269"/>
      <c r="K122" s="269"/>
      <c r="L122" s="254"/>
      <c r="M122" s="269"/>
      <c r="N122" s="269"/>
      <c r="O122" s="269"/>
      <c r="P122" s="269"/>
      <c r="Q122" s="254"/>
      <c r="R122" s="269"/>
      <c r="S122" s="269"/>
      <c r="T122" s="269"/>
      <c r="U122" s="269"/>
      <c r="V122" s="254"/>
      <c r="W122" s="269"/>
      <c r="X122" s="269"/>
      <c r="Y122" s="269"/>
      <c r="Z122" s="269"/>
      <c r="AA122" s="254"/>
      <c r="AB122" s="269"/>
      <c r="AC122" s="269"/>
      <c r="AD122" s="269"/>
      <c r="AE122" s="275"/>
      <c r="AF122" s="384"/>
      <c r="AG122" s="275"/>
      <c r="AH122" s="275"/>
      <c r="AI122" s="275"/>
      <c r="AJ122" s="275"/>
      <c r="AK122" s="259"/>
    </row>
    <row r="123" spans="1:37" x14ac:dyDescent="0.25">
      <c r="A123" s="271" t="s">
        <v>209</v>
      </c>
      <c r="C123" s="253"/>
      <c r="D123" s="253"/>
      <c r="E123" s="253"/>
      <c r="F123" s="253"/>
      <c r="G123" s="254"/>
      <c r="H123" s="253"/>
      <c r="I123" s="253"/>
      <c r="J123" s="253"/>
      <c r="K123" s="253"/>
      <c r="L123" s="254"/>
      <c r="M123" s="253"/>
      <c r="N123" s="253"/>
      <c r="O123" s="253"/>
      <c r="P123" s="253"/>
      <c r="Q123" s="254"/>
      <c r="R123" s="253"/>
      <c r="S123" s="253"/>
      <c r="T123" s="253"/>
      <c r="U123" s="253"/>
      <c r="V123" s="254"/>
      <c r="W123" s="253"/>
      <c r="X123" s="253"/>
      <c r="Y123" s="253"/>
      <c r="Z123" s="253"/>
      <c r="AA123" s="254"/>
      <c r="AB123" s="253"/>
      <c r="AC123" s="253"/>
      <c r="AD123" s="253"/>
      <c r="AE123" s="255"/>
      <c r="AF123" s="384"/>
      <c r="AG123" s="255"/>
      <c r="AH123" s="255"/>
      <c r="AI123" s="255"/>
      <c r="AJ123" s="255"/>
      <c r="AK123" s="259"/>
    </row>
    <row r="124" spans="1:37" x14ac:dyDescent="0.25">
      <c r="A124" s="273" t="s">
        <v>167</v>
      </c>
      <c r="C124" s="253">
        <f>C178</f>
        <v>-64</v>
      </c>
      <c r="D124" s="253">
        <f>D178-C178</f>
        <v>-50</v>
      </c>
      <c r="E124" s="253">
        <f t="shared" ref="E124:F124" si="252">E178-D178</f>
        <v>-100</v>
      </c>
      <c r="F124" s="253">
        <f t="shared" si="252"/>
        <v>-86</v>
      </c>
      <c r="G124" s="254">
        <f>SUM(C124:F124)</f>
        <v>-300</v>
      </c>
      <c r="H124" s="253">
        <f>H178-G178</f>
        <v>-82</v>
      </c>
      <c r="I124" s="253">
        <f t="shared" ref="I124:K124" si="253">I178-H178</f>
        <v>-90</v>
      </c>
      <c r="J124" s="253">
        <f t="shared" si="253"/>
        <v>-83</v>
      </c>
      <c r="K124" s="253">
        <f t="shared" si="253"/>
        <v>-75</v>
      </c>
      <c r="L124" s="254">
        <f>SUM(H124:K124)</f>
        <v>-330</v>
      </c>
      <c r="M124" s="253">
        <f>M178-L178</f>
        <v>-83</v>
      </c>
      <c r="N124" s="253">
        <f t="shared" ref="N124:P124" si="254">N178-M178</f>
        <v>-91</v>
      </c>
      <c r="O124" s="253">
        <f t="shared" si="254"/>
        <v>-132</v>
      </c>
      <c r="P124" s="253">
        <f t="shared" si="254"/>
        <v>-116</v>
      </c>
      <c r="Q124" s="254">
        <f>SUM(M124:P124)</f>
        <v>-422</v>
      </c>
      <c r="R124" s="253">
        <f>R178-Q178</f>
        <v>-131</v>
      </c>
      <c r="S124" s="253">
        <f t="shared" ref="S124:U124" si="255">S178-R178</f>
        <v>-70</v>
      </c>
      <c r="T124" s="253">
        <f t="shared" si="255"/>
        <v>-79</v>
      </c>
      <c r="U124" s="253">
        <f t="shared" si="255"/>
        <v>-59</v>
      </c>
      <c r="V124" s="254">
        <f>SUM(R124:U124)</f>
        <v>-339</v>
      </c>
      <c r="W124" s="253">
        <f>W178-V178</f>
        <v>-65</v>
      </c>
      <c r="X124" s="253">
        <f t="shared" ref="X124:Z124" si="256">X178-W178</f>
        <v>-196</v>
      </c>
      <c r="Y124" s="253">
        <f t="shared" si="256"/>
        <v>-65</v>
      </c>
      <c r="Z124" s="253">
        <f t="shared" si="256"/>
        <v>-63</v>
      </c>
      <c r="AA124" s="254">
        <f>SUM(W124:Z124)</f>
        <v>-389</v>
      </c>
      <c r="AB124" s="253">
        <f>AB178-AA178</f>
        <v>-146</v>
      </c>
      <c r="AC124" s="253">
        <f t="shared" ref="AC124:AE124" si="257">AC178-AB178</f>
        <v>22</v>
      </c>
      <c r="AD124" s="253">
        <f t="shared" si="257"/>
        <v>-188</v>
      </c>
      <c r="AE124" s="253">
        <f t="shared" si="257"/>
        <v>45</v>
      </c>
      <c r="AF124" s="384">
        <f>SUM(AB124:AE124)</f>
        <v>-267</v>
      </c>
      <c r="AG124" s="255">
        <f>-AG150</f>
        <v>-272.40397495223363</v>
      </c>
      <c r="AH124" s="255">
        <f t="shared" ref="AH124:AJ124" si="258">-AH150</f>
        <v>-324.11040919378928</v>
      </c>
      <c r="AI124" s="255">
        <f t="shared" si="258"/>
        <v>-307.42920240197731</v>
      </c>
      <c r="AJ124" s="255">
        <f t="shared" si="258"/>
        <v>-384.74118351855145</v>
      </c>
      <c r="AK124" s="259">
        <f>SUM(AG124:AJ124)</f>
        <v>-1288.6847700665517</v>
      </c>
    </row>
    <row r="125" spans="1:37" x14ac:dyDescent="0.25">
      <c r="A125" s="273" t="s">
        <v>206</v>
      </c>
      <c r="C125" s="253">
        <v>-30</v>
      </c>
      <c r="D125" s="253">
        <f>D179-C179</f>
        <v>-24</v>
      </c>
      <c r="E125" s="253">
        <f t="shared" ref="E125:F125" si="259">E179-D179</f>
        <v>-33</v>
      </c>
      <c r="F125" s="253">
        <f t="shared" si="259"/>
        <v>-36</v>
      </c>
      <c r="G125" s="254">
        <f t="shared" ref="G125:G128" si="260">SUM(C125:F125)</f>
        <v>-123</v>
      </c>
      <c r="H125" s="253">
        <f>H179-G179</f>
        <v>-44</v>
      </c>
      <c r="I125" s="253">
        <f>I179-H179</f>
        <v>-35</v>
      </c>
      <c r="J125" s="253">
        <f>J179-I179</f>
        <v>-47</v>
      </c>
      <c r="K125" s="253">
        <f>K179-J179</f>
        <v>-48</v>
      </c>
      <c r="L125" s="254">
        <f t="shared" ref="L125:L128" si="261">SUM(H125:K125)</f>
        <v>-174</v>
      </c>
      <c r="M125" s="253">
        <f>M179-L179</f>
        <v>-59</v>
      </c>
      <c r="N125" s="253">
        <f>N179-M179</f>
        <v>-91</v>
      </c>
      <c r="O125" s="253">
        <f>O179-N179</f>
        <v>-87</v>
      </c>
      <c r="P125" s="253">
        <f>P179-O179</f>
        <v>-69</v>
      </c>
      <c r="Q125" s="254">
        <f t="shared" ref="Q125:Q128" si="262">SUM(M125:P125)</f>
        <v>-306</v>
      </c>
      <c r="R125" s="253">
        <f>R179-Q179</f>
        <v>-78</v>
      </c>
      <c r="S125" s="253">
        <f>S179-R179</f>
        <v>-113</v>
      </c>
      <c r="T125" s="253">
        <f>T179-S179</f>
        <v>-86</v>
      </c>
      <c r="U125" s="253">
        <f>U179-T179</f>
        <v>-92</v>
      </c>
      <c r="V125" s="254">
        <f t="shared" ref="V125:V128" si="263">SUM(R125:U125)</f>
        <v>-369</v>
      </c>
      <c r="W125" s="253">
        <f>W179-V179</f>
        <v>-79</v>
      </c>
      <c r="X125" s="253">
        <f>X179-W179</f>
        <v>-112</v>
      </c>
      <c r="Y125" s="253">
        <f>Y179-X179</f>
        <v>-110</v>
      </c>
      <c r="Z125" s="253">
        <f>Z179-Y179</f>
        <v>-106</v>
      </c>
      <c r="AA125" s="254">
        <f t="shared" ref="AA125:AA128" si="264">SUM(W125:Z125)</f>
        <v>-407</v>
      </c>
      <c r="AB125" s="253">
        <f>AB179-AA179</f>
        <v>-148</v>
      </c>
      <c r="AC125" s="253">
        <f>AC179-AB179</f>
        <v>-132</v>
      </c>
      <c r="AD125" s="253">
        <f>AD179-AC179</f>
        <v>-166</v>
      </c>
      <c r="AE125" s="253">
        <f>AE179-AD179</f>
        <v>-209</v>
      </c>
      <c r="AF125" s="384">
        <f t="shared" ref="AF125:AF128" si="265">SUM(AB125:AE125)</f>
        <v>-655</v>
      </c>
      <c r="AG125" s="255">
        <v>0</v>
      </c>
      <c r="AH125" s="255">
        <v>0</v>
      </c>
      <c r="AI125" s="255">
        <v>0</v>
      </c>
      <c r="AJ125" s="255">
        <v>0</v>
      </c>
      <c r="AK125" s="259">
        <f t="shared" ref="AK125:AK128" si="266">SUM(AG125:AJ125)</f>
        <v>0</v>
      </c>
    </row>
    <row r="126" spans="1:37" x14ac:dyDescent="0.25">
      <c r="A126" s="273" t="s">
        <v>207</v>
      </c>
      <c r="C126" s="253">
        <v>0</v>
      </c>
      <c r="D126" s="253">
        <f>D182-C182</f>
        <v>-951</v>
      </c>
      <c r="E126" s="253">
        <f t="shared" ref="E126:F126" si="267">E182-D182</f>
        <v>-224</v>
      </c>
      <c r="F126" s="253">
        <f t="shared" si="267"/>
        <v>0</v>
      </c>
      <c r="G126" s="254">
        <f t="shared" si="260"/>
        <v>-1175</v>
      </c>
      <c r="H126" s="253">
        <f>H182-G182</f>
        <v>0</v>
      </c>
      <c r="I126" s="253">
        <f t="shared" ref="I126:K126" si="268">I182-H182</f>
        <v>0</v>
      </c>
      <c r="J126" s="253">
        <f t="shared" si="268"/>
        <v>0</v>
      </c>
      <c r="K126" s="253">
        <f t="shared" si="268"/>
        <v>0</v>
      </c>
      <c r="L126" s="254">
        <f t="shared" si="261"/>
        <v>0</v>
      </c>
      <c r="M126" s="253">
        <f>M182-L182</f>
        <v>0</v>
      </c>
      <c r="N126" s="253">
        <f t="shared" ref="N126:P126" si="269">N182-M182</f>
        <v>-723</v>
      </c>
      <c r="O126" s="253">
        <f t="shared" si="269"/>
        <v>-447</v>
      </c>
      <c r="P126" s="253">
        <f t="shared" si="269"/>
        <v>-270</v>
      </c>
      <c r="Q126" s="254">
        <f t="shared" si="262"/>
        <v>-1440</v>
      </c>
      <c r="R126" s="253">
        <f>R182-Q182</f>
        <v>0</v>
      </c>
      <c r="S126" s="253">
        <f t="shared" ref="S126:U126" si="270">S182-R182</f>
        <v>0</v>
      </c>
      <c r="T126" s="253">
        <f t="shared" si="270"/>
        <v>0</v>
      </c>
      <c r="U126" s="253">
        <f t="shared" si="270"/>
        <v>0</v>
      </c>
      <c r="V126" s="254">
        <f t="shared" si="263"/>
        <v>0</v>
      </c>
      <c r="W126" s="253">
        <f>W182-V182</f>
        <v>-3364</v>
      </c>
      <c r="X126" s="253">
        <f t="shared" ref="X126:Z126" si="271">X182-W182</f>
        <v>-836</v>
      </c>
      <c r="Y126" s="253">
        <f t="shared" si="271"/>
        <v>0</v>
      </c>
      <c r="Z126" s="253">
        <f t="shared" si="271"/>
        <v>-236</v>
      </c>
      <c r="AA126" s="254">
        <f t="shared" si="264"/>
        <v>-4436</v>
      </c>
      <c r="AB126" s="253">
        <f>AB182-AA182</f>
        <v>0</v>
      </c>
      <c r="AC126" s="253">
        <f t="shared" ref="AC126:AE126" si="272">AC182-AB182</f>
        <v>-313</v>
      </c>
      <c r="AD126" s="253">
        <f t="shared" si="272"/>
        <v>0</v>
      </c>
      <c r="AE126" s="253">
        <f t="shared" si="272"/>
        <v>0</v>
      </c>
      <c r="AF126" s="384">
        <f t="shared" si="265"/>
        <v>-313</v>
      </c>
      <c r="AG126" s="255">
        <v>0</v>
      </c>
      <c r="AH126" s="255">
        <v>0</v>
      </c>
      <c r="AI126" s="255">
        <v>0</v>
      </c>
      <c r="AJ126" s="255">
        <v>0</v>
      </c>
      <c r="AK126" s="259">
        <f t="shared" si="266"/>
        <v>0</v>
      </c>
    </row>
    <row r="127" spans="1:37" x14ac:dyDescent="0.25">
      <c r="A127" s="273" t="s">
        <v>208</v>
      </c>
      <c r="C127" s="253">
        <f>C128-SUM(C124:C126)</f>
        <v>-152</v>
      </c>
      <c r="D127" s="253">
        <f t="shared" ref="D127:F127" si="273">D128-SUM(D124:D126)</f>
        <v>17</v>
      </c>
      <c r="E127" s="253">
        <f t="shared" si="273"/>
        <v>-45</v>
      </c>
      <c r="F127" s="253">
        <f t="shared" si="273"/>
        <v>-1</v>
      </c>
      <c r="G127" s="254">
        <f t="shared" si="260"/>
        <v>-181</v>
      </c>
      <c r="H127" s="253">
        <f>H128-SUM(H124:H126)</f>
        <v>493</v>
      </c>
      <c r="I127" s="253">
        <f t="shared" ref="I127" si="274">I128-SUM(I124:I126)</f>
        <v>-248</v>
      </c>
      <c r="J127" s="253">
        <f t="shared" ref="J127" si="275">J128-SUM(J124:J126)</f>
        <v>-101</v>
      </c>
      <c r="K127" s="253">
        <f t="shared" ref="K127" si="276">K128-SUM(K124:K126)</f>
        <v>-146</v>
      </c>
      <c r="L127" s="254">
        <f t="shared" si="261"/>
        <v>-2</v>
      </c>
      <c r="M127" s="253">
        <f>M128-SUM(M124:M126)</f>
        <v>355</v>
      </c>
      <c r="N127" s="253">
        <f t="shared" ref="N127" si="277">N128-SUM(N124:N126)</f>
        <v>138</v>
      </c>
      <c r="O127" s="253">
        <f t="shared" ref="O127" si="278">O128-SUM(O124:O126)</f>
        <v>40</v>
      </c>
      <c r="P127" s="253">
        <f t="shared" ref="P127" si="279">P128-SUM(P124:P126)</f>
        <v>-5</v>
      </c>
      <c r="Q127" s="254">
        <f t="shared" si="262"/>
        <v>528</v>
      </c>
      <c r="R127" s="253">
        <f>R128-SUM(R124:R126)</f>
        <v>-298</v>
      </c>
      <c r="S127" s="253">
        <f t="shared" ref="S127" si="280">S128-SUM(S124:S126)</f>
        <v>64</v>
      </c>
      <c r="T127" s="253">
        <f t="shared" ref="T127" si="281">T128-SUM(T124:T126)</f>
        <v>-34</v>
      </c>
      <c r="U127" s="253">
        <f t="shared" ref="U127" si="282">U128-SUM(U124:U126)</f>
        <v>-903</v>
      </c>
      <c r="V127" s="254">
        <f t="shared" si="263"/>
        <v>-1171</v>
      </c>
      <c r="W127" s="253">
        <f>W128-SUM(W124:W126)</f>
        <v>-52</v>
      </c>
      <c r="X127" s="253">
        <f t="shared" ref="X127" si="283">X128-SUM(X124:X126)</f>
        <v>2</v>
      </c>
      <c r="Y127" s="253">
        <f t="shared" ref="Y127" si="284">Y128-SUM(Y124:Y126)</f>
        <v>43</v>
      </c>
      <c r="Z127" s="253">
        <f t="shared" ref="Z127" si="285">Z128-SUM(Z124:Z126)</f>
        <v>-33</v>
      </c>
      <c r="AA127" s="254">
        <f t="shared" si="264"/>
        <v>-40</v>
      </c>
      <c r="AB127" s="253">
        <f>AB128-SUM(AB124:AB126)</f>
        <v>7</v>
      </c>
      <c r="AC127" s="253">
        <f t="shared" ref="AC127" si="286">AC128-SUM(AC124:AC126)</f>
        <v>-102</v>
      </c>
      <c r="AD127" s="253">
        <f t="shared" ref="AD127:AE127" si="287">AD128-SUM(AD124:AD126)</f>
        <v>46</v>
      </c>
      <c r="AE127" s="253">
        <f t="shared" si="287"/>
        <v>-186</v>
      </c>
      <c r="AF127" s="384">
        <f t="shared" si="265"/>
        <v>-235</v>
      </c>
      <c r="AG127" s="255">
        <v>0</v>
      </c>
      <c r="AH127" s="255">
        <v>0</v>
      </c>
      <c r="AI127" s="255">
        <v>0</v>
      </c>
      <c r="AJ127" s="255">
        <v>0</v>
      </c>
      <c r="AK127" s="259">
        <f t="shared" si="266"/>
        <v>0</v>
      </c>
    </row>
    <row r="128" spans="1:37" s="34" customFormat="1" x14ac:dyDescent="0.25">
      <c r="A128" s="285" t="s">
        <v>38</v>
      </c>
      <c r="C128" s="265">
        <f>C185</f>
        <v>-246</v>
      </c>
      <c r="D128" s="265">
        <f>D185-C185</f>
        <v>-1008</v>
      </c>
      <c r="E128" s="265">
        <f t="shared" ref="E128:F128" si="288">E185-D185</f>
        <v>-402</v>
      </c>
      <c r="F128" s="265">
        <f t="shared" si="288"/>
        <v>-123</v>
      </c>
      <c r="G128" s="261">
        <f t="shared" si="260"/>
        <v>-1779</v>
      </c>
      <c r="H128" s="265">
        <f>H185-G185</f>
        <v>367</v>
      </c>
      <c r="I128" s="265">
        <f t="shared" ref="I128:K128" si="289">I185-H185</f>
        <v>-373</v>
      </c>
      <c r="J128" s="265">
        <f t="shared" si="289"/>
        <v>-231</v>
      </c>
      <c r="K128" s="265">
        <f t="shared" si="289"/>
        <v>-269</v>
      </c>
      <c r="L128" s="261">
        <f t="shared" si="261"/>
        <v>-506</v>
      </c>
      <c r="M128" s="265">
        <f>M185-L185</f>
        <v>213</v>
      </c>
      <c r="N128" s="265">
        <f t="shared" ref="N128:P128" si="290">N185-M185</f>
        <v>-767</v>
      </c>
      <c r="O128" s="265">
        <f t="shared" si="290"/>
        <v>-626</v>
      </c>
      <c r="P128" s="265">
        <f t="shared" si="290"/>
        <v>-460</v>
      </c>
      <c r="Q128" s="261">
        <f t="shared" si="262"/>
        <v>-1640</v>
      </c>
      <c r="R128" s="265">
        <f>R185-Q185</f>
        <v>-507</v>
      </c>
      <c r="S128" s="265">
        <f t="shared" ref="S128:U128" si="291">S185-R185</f>
        <v>-119</v>
      </c>
      <c r="T128" s="265">
        <f t="shared" si="291"/>
        <v>-199</v>
      </c>
      <c r="U128" s="265">
        <f t="shared" si="291"/>
        <v>-1054</v>
      </c>
      <c r="V128" s="261">
        <f t="shared" si="263"/>
        <v>-1879</v>
      </c>
      <c r="W128" s="265">
        <f>W185-V185</f>
        <v>-3560</v>
      </c>
      <c r="X128" s="265">
        <f t="shared" ref="X128:Z128" si="292">X185-W185</f>
        <v>-1142</v>
      </c>
      <c r="Y128" s="265">
        <f t="shared" si="292"/>
        <v>-132</v>
      </c>
      <c r="Z128" s="265">
        <f t="shared" si="292"/>
        <v>-438</v>
      </c>
      <c r="AA128" s="261">
        <f t="shared" si="264"/>
        <v>-5272</v>
      </c>
      <c r="AB128" s="265">
        <f>AB185-AA185</f>
        <v>-287</v>
      </c>
      <c r="AC128" s="265">
        <f t="shared" ref="AC128:AE128" si="293">AC185-AB185</f>
        <v>-525</v>
      </c>
      <c r="AD128" s="265">
        <f t="shared" si="293"/>
        <v>-308</v>
      </c>
      <c r="AE128" s="265">
        <f t="shared" si="293"/>
        <v>-350</v>
      </c>
      <c r="AF128" s="385">
        <f t="shared" si="265"/>
        <v>-1470</v>
      </c>
      <c r="AG128" s="280">
        <f>SUM(AG124:AG127)</f>
        <v>-272.40397495223363</v>
      </c>
      <c r="AH128" s="280">
        <f t="shared" ref="AH128:AJ128" si="294">SUM(AH124:AH127)</f>
        <v>-324.11040919378928</v>
      </c>
      <c r="AI128" s="280">
        <f t="shared" si="294"/>
        <v>-307.42920240197731</v>
      </c>
      <c r="AJ128" s="280">
        <f t="shared" si="294"/>
        <v>-384.74118351855145</v>
      </c>
      <c r="AK128" s="282">
        <f t="shared" si="266"/>
        <v>-1288.6847700665517</v>
      </c>
    </row>
    <row r="129" spans="1:37" s="34" customFormat="1" x14ac:dyDescent="0.25">
      <c r="C129" s="269"/>
      <c r="D129" s="269"/>
      <c r="E129" s="269"/>
      <c r="F129" s="269"/>
      <c r="G129" s="254"/>
      <c r="H129" s="269"/>
      <c r="I129" s="269"/>
      <c r="J129" s="269"/>
      <c r="K129" s="269"/>
      <c r="L129" s="254"/>
      <c r="M129" s="269"/>
      <c r="N129" s="269"/>
      <c r="O129" s="269"/>
      <c r="P129" s="269"/>
      <c r="Q129" s="254"/>
      <c r="R129" s="269"/>
      <c r="S129" s="269"/>
      <c r="T129" s="269"/>
      <c r="U129" s="269"/>
      <c r="V129" s="254"/>
      <c r="W129" s="269"/>
      <c r="X129" s="269"/>
      <c r="Y129" s="269"/>
      <c r="Z129" s="269"/>
      <c r="AA129" s="254"/>
      <c r="AB129" s="269"/>
      <c r="AC129" s="269"/>
      <c r="AD129" s="269"/>
      <c r="AE129" s="275"/>
      <c r="AF129" s="384"/>
      <c r="AG129" s="275"/>
      <c r="AH129" s="275"/>
      <c r="AI129" s="275"/>
      <c r="AJ129" s="275"/>
      <c r="AK129" s="259"/>
    </row>
    <row r="130" spans="1:37" x14ac:dyDescent="0.25">
      <c r="A130" s="271" t="s">
        <v>214</v>
      </c>
      <c r="C130" s="253"/>
      <c r="D130" s="253"/>
      <c r="E130" s="253"/>
      <c r="F130" s="253"/>
      <c r="G130" s="254"/>
      <c r="H130" s="253"/>
      <c r="I130" s="253"/>
      <c r="J130" s="253"/>
      <c r="K130" s="253"/>
      <c r="L130" s="254"/>
      <c r="M130" s="253"/>
      <c r="N130" s="253"/>
      <c r="O130" s="253"/>
      <c r="P130" s="253"/>
      <c r="Q130" s="254"/>
      <c r="R130" s="253"/>
      <c r="S130" s="253"/>
      <c r="T130" s="253"/>
      <c r="U130" s="253"/>
      <c r="V130" s="254"/>
      <c r="W130" s="253"/>
      <c r="X130" s="253"/>
      <c r="Y130" s="253"/>
      <c r="Z130" s="253"/>
      <c r="AA130" s="254"/>
      <c r="AB130" s="253"/>
      <c r="AC130" s="253"/>
      <c r="AD130" s="253"/>
      <c r="AE130" s="255"/>
      <c r="AF130" s="384"/>
      <c r="AG130" s="255"/>
      <c r="AH130" s="255"/>
      <c r="AI130" s="255"/>
      <c r="AJ130" s="255"/>
      <c r="AK130" s="259"/>
    </row>
    <row r="131" spans="1:37" x14ac:dyDescent="0.25">
      <c r="A131" s="273" t="s">
        <v>210</v>
      </c>
      <c r="C131" s="253">
        <v>0</v>
      </c>
      <c r="D131" s="253">
        <v>0</v>
      </c>
      <c r="E131" s="253">
        <v>0</v>
      </c>
      <c r="F131" s="253">
        <v>0</v>
      </c>
      <c r="G131" s="254">
        <f>SUM(C131:F131)</f>
        <v>0</v>
      </c>
      <c r="H131" s="253">
        <f>H191-G191</f>
        <v>991</v>
      </c>
      <c r="I131" s="253">
        <f t="shared" ref="I131:K131" si="295">I191-H191</f>
        <v>0</v>
      </c>
      <c r="J131" s="253">
        <f t="shared" si="295"/>
        <v>0</v>
      </c>
      <c r="K131" s="253">
        <f t="shared" si="295"/>
        <v>0</v>
      </c>
      <c r="L131" s="254">
        <f>SUM(H131:K131)</f>
        <v>991</v>
      </c>
      <c r="M131" s="253">
        <f>M191-L191</f>
        <v>-116</v>
      </c>
      <c r="N131" s="253">
        <f t="shared" ref="N131:P131" si="296">N191-M191</f>
        <v>1596</v>
      </c>
      <c r="O131" s="253">
        <f t="shared" si="296"/>
        <v>0</v>
      </c>
      <c r="P131" s="253">
        <f t="shared" si="296"/>
        <v>744</v>
      </c>
      <c r="Q131" s="254">
        <f>SUM(M131:P131)</f>
        <v>2224</v>
      </c>
      <c r="R131" s="253">
        <f>R191-Q191</f>
        <v>3959</v>
      </c>
      <c r="S131" s="253">
        <f t="shared" ref="S131:U131" si="297">S191-R191</f>
        <v>0</v>
      </c>
      <c r="T131" s="253">
        <f t="shared" si="297"/>
        <v>0</v>
      </c>
      <c r="U131" s="253">
        <f t="shared" si="297"/>
        <v>0</v>
      </c>
      <c r="V131" s="254">
        <f>SUM(R131:U131)</f>
        <v>3959</v>
      </c>
      <c r="W131" s="253">
        <f>W191-V191</f>
        <v>1282</v>
      </c>
      <c r="X131" s="253">
        <f t="shared" ref="X131:Z131" si="298">X191-W191</f>
        <v>-1282</v>
      </c>
      <c r="Y131" s="253">
        <f t="shared" si="298"/>
        <v>0</v>
      </c>
      <c r="Z131" s="253">
        <f t="shared" si="298"/>
        <v>1554</v>
      </c>
      <c r="AA131" s="254">
        <f>SUM(W131:Z131)</f>
        <v>1554</v>
      </c>
      <c r="AB131" s="253">
        <f>AB191-AA191</f>
        <v>843</v>
      </c>
      <c r="AC131" s="253">
        <f t="shared" ref="AC131:AE131" si="299">AC191-AB191</f>
        <v>0</v>
      </c>
      <c r="AD131" s="253">
        <f t="shared" si="299"/>
        <v>-843</v>
      </c>
      <c r="AE131" s="253">
        <f t="shared" si="299"/>
        <v>0</v>
      </c>
      <c r="AF131" s="384">
        <f>SUM(AB131:AE131)</f>
        <v>0</v>
      </c>
      <c r="AG131" s="255">
        <v>0</v>
      </c>
      <c r="AH131" s="255">
        <v>0</v>
      </c>
      <c r="AI131" s="255">
        <v>0</v>
      </c>
      <c r="AJ131" s="255">
        <v>0</v>
      </c>
      <c r="AK131" s="259">
        <f>SUM(AG131:AJ131)</f>
        <v>0</v>
      </c>
    </row>
    <row r="132" spans="1:37" x14ac:dyDescent="0.25">
      <c r="A132" s="292" t="s">
        <v>211</v>
      </c>
      <c r="C132" s="253">
        <v>-962</v>
      </c>
      <c r="D132" s="253">
        <f>D188-C188</f>
        <v>-931</v>
      </c>
      <c r="E132" s="253">
        <f t="shared" ref="E132:F132" si="300">E188-D188</f>
        <v>-838</v>
      </c>
      <c r="F132" s="253">
        <f t="shared" si="300"/>
        <v>-1031</v>
      </c>
      <c r="G132" s="254">
        <f t="shared" ref="G132:G136" si="301">SUM(C132:F132)</f>
        <v>-3762</v>
      </c>
      <c r="H132" s="253">
        <f>H188-G188</f>
        <v>-1352</v>
      </c>
      <c r="I132" s="253">
        <f t="shared" ref="I132:K134" si="302">I188-H188</f>
        <v>-1529</v>
      </c>
      <c r="J132" s="253">
        <f t="shared" si="302"/>
        <v>-1164</v>
      </c>
      <c r="K132" s="253">
        <f t="shared" si="302"/>
        <v>-888</v>
      </c>
      <c r="L132" s="254">
        <f t="shared" ref="L132:L136" si="303">SUM(H132:K132)</f>
        <v>-4933</v>
      </c>
      <c r="M132" s="253">
        <f>M188-L188</f>
        <v>-1824</v>
      </c>
      <c r="N132" s="253">
        <f t="shared" ref="N132:P134" si="304">N188-M188</f>
        <v>-1917</v>
      </c>
      <c r="O132" s="253">
        <f t="shared" si="304"/>
        <v>-1762</v>
      </c>
      <c r="P132" s="253">
        <f t="shared" si="304"/>
        <v>-994</v>
      </c>
      <c r="Q132" s="254">
        <f t="shared" ref="Q132:Q136" si="305">SUM(M132:P132)</f>
        <v>-6497</v>
      </c>
      <c r="R132" s="253">
        <f>R188-Q188</f>
        <v>-1383</v>
      </c>
      <c r="S132" s="253">
        <f t="shared" ref="S132:U134" si="306">S188-R188</f>
        <v>0</v>
      </c>
      <c r="T132" s="253">
        <f t="shared" si="306"/>
        <v>-2060</v>
      </c>
      <c r="U132" s="253">
        <f t="shared" si="306"/>
        <v>-1030</v>
      </c>
      <c r="V132" s="254">
        <f t="shared" ref="V132:V136" si="307">SUM(R132:U132)</f>
        <v>-4473</v>
      </c>
      <c r="W132" s="253">
        <f>W188-V188</f>
        <v>-1356</v>
      </c>
      <c r="X132" s="253">
        <f t="shared" ref="X132:Z134" si="308">X188-W188</f>
        <v>-1711</v>
      </c>
      <c r="Y132" s="253">
        <f t="shared" si="308"/>
        <v>-1561</v>
      </c>
      <c r="Z132" s="253">
        <f t="shared" si="308"/>
        <v>-1276</v>
      </c>
      <c r="AA132" s="254">
        <f t="shared" ref="AA132:AA136" si="309">SUM(W132:Z132)</f>
        <v>-5904</v>
      </c>
      <c r="AB132" s="253">
        <f>AB188-AA188</f>
        <v>-2408</v>
      </c>
      <c r="AC132" s="253">
        <f t="shared" ref="AC132:AE134" si="310">AC188-AB188</f>
        <v>-2380</v>
      </c>
      <c r="AD132" s="253">
        <f t="shared" si="310"/>
        <v>-1551</v>
      </c>
      <c r="AE132" s="253">
        <f t="shared" si="310"/>
        <v>-2414</v>
      </c>
      <c r="AF132" s="384">
        <f t="shared" ref="AF132:AF136" si="311">SUM(AB132:AE132)</f>
        <v>-8753</v>
      </c>
      <c r="AG132" s="255">
        <v>-1700</v>
      </c>
      <c r="AH132" s="255">
        <v>-1700</v>
      </c>
      <c r="AI132" s="255">
        <v>-1700</v>
      </c>
      <c r="AJ132" s="255">
        <v>-1700</v>
      </c>
      <c r="AK132" s="259">
        <f t="shared" ref="AK132:AK136" si="312">SUM(AG132:AJ132)</f>
        <v>-6800</v>
      </c>
    </row>
    <row r="133" spans="1:37" x14ac:dyDescent="0.25">
      <c r="A133" s="273" t="s">
        <v>212</v>
      </c>
      <c r="C133" s="253">
        <v>-238</v>
      </c>
      <c r="D133" s="253">
        <f>D189-C189</f>
        <v>-236</v>
      </c>
      <c r="E133" s="253">
        <f t="shared" ref="E133:F133" si="313">E189-D189</f>
        <v>-235</v>
      </c>
      <c r="F133" s="253">
        <f t="shared" si="313"/>
        <v>-233</v>
      </c>
      <c r="G133" s="254">
        <f t="shared" si="301"/>
        <v>-942</v>
      </c>
      <c r="H133" s="253">
        <f>H189-G189</f>
        <v>-263</v>
      </c>
      <c r="I133" s="253">
        <f t="shared" si="302"/>
        <v>-262</v>
      </c>
      <c r="J133" s="253">
        <f t="shared" si="302"/>
        <v>-260</v>
      </c>
      <c r="K133" s="253">
        <f t="shared" si="302"/>
        <v>-259</v>
      </c>
      <c r="L133" s="254">
        <f t="shared" si="303"/>
        <v>-1044</v>
      </c>
      <c r="M133" s="253">
        <f>M189-L189</f>
        <v>-340</v>
      </c>
      <c r="N133" s="253">
        <f t="shared" si="304"/>
        <v>-337</v>
      </c>
      <c r="O133" s="253">
        <f t="shared" si="304"/>
        <v>-335</v>
      </c>
      <c r="P133" s="253">
        <f t="shared" si="304"/>
        <v>-333</v>
      </c>
      <c r="Q133" s="254">
        <f t="shared" si="305"/>
        <v>-1345</v>
      </c>
      <c r="R133" s="253">
        <f>R189-Q189</f>
        <v>-403</v>
      </c>
      <c r="S133" s="253">
        <f t="shared" si="306"/>
        <v>-401</v>
      </c>
      <c r="T133" s="253">
        <f t="shared" si="306"/>
        <v>-402</v>
      </c>
      <c r="U133" s="253">
        <f t="shared" si="306"/>
        <v>-399</v>
      </c>
      <c r="V133" s="254">
        <f t="shared" si="307"/>
        <v>-1605</v>
      </c>
      <c r="W133" s="253">
        <f>W189-V189</f>
        <v>-439</v>
      </c>
      <c r="X133" s="253">
        <f t="shared" si="308"/>
        <v>-434</v>
      </c>
      <c r="Y133" s="253">
        <f t="shared" si="308"/>
        <v>-434</v>
      </c>
      <c r="Z133" s="253">
        <f t="shared" si="308"/>
        <v>-434</v>
      </c>
      <c r="AA133" s="254">
        <f t="shared" si="309"/>
        <v>-1741</v>
      </c>
      <c r="AB133" s="253">
        <f>AB189-AA189</f>
        <v>-479</v>
      </c>
      <c r="AC133" s="253">
        <f t="shared" si="310"/>
        <v>-477</v>
      </c>
      <c r="AD133" s="253">
        <f t="shared" si="310"/>
        <v>-474</v>
      </c>
      <c r="AE133" s="253">
        <f t="shared" si="310"/>
        <v>-473</v>
      </c>
      <c r="AF133" s="384">
        <f t="shared" si="311"/>
        <v>-1903</v>
      </c>
      <c r="AG133" s="255">
        <v>-470</v>
      </c>
      <c r="AH133" s="255">
        <v>-470</v>
      </c>
      <c r="AI133" s="255">
        <v>-470</v>
      </c>
      <c r="AJ133" s="255">
        <v>-470</v>
      </c>
      <c r="AK133" s="259">
        <f t="shared" si="312"/>
        <v>-1880</v>
      </c>
    </row>
    <row r="134" spans="1:37" x14ac:dyDescent="0.25">
      <c r="A134" s="273" t="s">
        <v>149</v>
      </c>
      <c r="C134" s="253">
        <f>C190</f>
        <v>-37</v>
      </c>
      <c r="D134" s="253">
        <f>D190-C190</f>
        <v>-48</v>
      </c>
      <c r="E134" s="253">
        <f t="shared" ref="E134:F134" si="314">E190-D190</f>
        <v>31</v>
      </c>
      <c r="F134" s="253">
        <f t="shared" si="314"/>
        <v>-6</v>
      </c>
      <c r="G134" s="254">
        <f t="shared" si="301"/>
        <v>-60</v>
      </c>
      <c r="H134" s="253">
        <f>H190-G190</f>
        <v>-41</v>
      </c>
      <c r="I134" s="253">
        <f t="shared" si="302"/>
        <v>40</v>
      </c>
      <c r="J134" s="253">
        <f t="shared" si="302"/>
        <v>7</v>
      </c>
      <c r="K134" s="253">
        <f t="shared" si="302"/>
        <v>14</v>
      </c>
      <c r="L134" s="254">
        <f t="shared" si="303"/>
        <v>20</v>
      </c>
      <c r="M134" s="253">
        <f>M190-L190</f>
        <v>57</v>
      </c>
      <c r="N134" s="253">
        <f t="shared" si="304"/>
        <v>-279</v>
      </c>
      <c r="O134" s="253">
        <f t="shared" si="304"/>
        <v>-28</v>
      </c>
      <c r="P134" s="253">
        <f t="shared" si="304"/>
        <v>1</v>
      </c>
      <c r="Q134" s="254">
        <f t="shared" si="305"/>
        <v>-249</v>
      </c>
      <c r="R134" s="253">
        <f>R190-Q190</f>
        <v>-73</v>
      </c>
      <c r="S134" s="253">
        <f t="shared" si="306"/>
        <v>-8</v>
      </c>
      <c r="T134" s="253">
        <f t="shared" si="306"/>
        <v>-6</v>
      </c>
      <c r="U134" s="253">
        <f t="shared" si="306"/>
        <v>54</v>
      </c>
      <c r="V134" s="254">
        <f t="shared" si="307"/>
        <v>-33</v>
      </c>
      <c r="W134" s="253">
        <f>W190-V190</f>
        <v>-93</v>
      </c>
      <c r="X134" s="253">
        <f t="shared" si="308"/>
        <v>1232</v>
      </c>
      <c r="Y134" s="253">
        <f t="shared" si="308"/>
        <v>-142</v>
      </c>
      <c r="Z134" s="253">
        <f t="shared" si="308"/>
        <v>-1461</v>
      </c>
      <c r="AA134" s="254">
        <f t="shared" si="309"/>
        <v>-464</v>
      </c>
      <c r="AB134" s="253">
        <f>AB190-AA190</f>
        <v>-110</v>
      </c>
      <c r="AC134" s="253">
        <f t="shared" si="310"/>
        <v>36</v>
      </c>
      <c r="AD134" s="253">
        <f t="shared" si="310"/>
        <v>1129</v>
      </c>
      <c r="AE134" s="253">
        <f t="shared" si="310"/>
        <v>-727</v>
      </c>
      <c r="AF134" s="384">
        <f t="shared" si="311"/>
        <v>328</v>
      </c>
      <c r="AG134" s="255">
        <v>0</v>
      </c>
      <c r="AH134" s="255">
        <v>0</v>
      </c>
      <c r="AI134" s="255">
        <v>0</v>
      </c>
      <c r="AJ134" s="255">
        <v>0</v>
      </c>
      <c r="AK134" s="259">
        <f t="shared" si="312"/>
        <v>0</v>
      </c>
    </row>
    <row r="135" spans="1:37" x14ac:dyDescent="0.25">
      <c r="A135" s="273" t="s">
        <v>213</v>
      </c>
      <c r="C135" s="253">
        <f>C136-SUM(C131:C134)</f>
        <v>0</v>
      </c>
      <c r="D135" s="253">
        <f t="shared" ref="D135:F135" si="315">D136-SUM(D131:D134)</f>
        <v>0</v>
      </c>
      <c r="E135" s="253">
        <f t="shared" si="315"/>
        <v>0</v>
      </c>
      <c r="F135" s="253">
        <f t="shared" si="315"/>
        <v>0</v>
      </c>
      <c r="G135" s="254">
        <f t="shared" si="301"/>
        <v>0</v>
      </c>
      <c r="H135" s="253">
        <f>H136-SUM(H131:H134)</f>
        <v>0</v>
      </c>
      <c r="I135" s="253">
        <f t="shared" ref="I135" si="316">I136-SUM(I131:I134)</f>
        <v>0</v>
      </c>
      <c r="J135" s="253">
        <f t="shared" ref="J135" si="317">J136-SUM(J131:J134)</f>
        <v>0</v>
      </c>
      <c r="K135" s="253">
        <f t="shared" ref="K135" si="318">K136-SUM(K131:K134)</f>
        <v>0</v>
      </c>
      <c r="L135" s="254">
        <f t="shared" si="303"/>
        <v>0</v>
      </c>
      <c r="M135" s="253">
        <f>M136-SUM(M131:M134)</f>
        <v>0</v>
      </c>
      <c r="N135" s="253">
        <f t="shared" ref="N135" si="319">N136-SUM(N131:N134)</f>
        <v>0</v>
      </c>
      <c r="O135" s="253">
        <f t="shared" ref="O135" si="320">O136-SUM(O131:O134)</f>
        <v>0</v>
      </c>
      <c r="P135" s="253">
        <f t="shared" ref="P135" si="321">P136-SUM(P131:P134)</f>
        <v>0</v>
      </c>
      <c r="Q135" s="254">
        <f t="shared" si="305"/>
        <v>0</v>
      </c>
      <c r="R135" s="253">
        <f>R136-SUM(R131:R134)</f>
        <v>0</v>
      </c>
      <c r="S135" s="253">
        <f t="shared" ref="S135" si="322">S136-SUM(S131:S134)</f>
        <v>0</v>
      </c>
      <c r="T135" s="253">
        <f t="shared" ref="T135" si="323">T136-SUM(T131:T134)</f>
        <v>0</v>
      </c>
      <c r="U135" s="253">
        <f t="shared" ref="U135" si="324">U136-SUM(U131:U134)</f>
        <v>0</v>
      </c>
      <c r="V135" s="254">
        <f t="shared" si="307"/>
        <v>0</v>
      </c>
      <c r="W135" s="253">
        <f>W136-SUM(W131:W134)</f>
        <v>0</v>
      </c>
      <c r="X135" s="253">
        <f t="shared" ref="X135" si="325">X136-SUM(X131:X134)</f>
        <v>0</v>
      </c>
      <c r="Y135" s="253">
        <f t="shared" ref="Y135" si="326">Y136-SUM(Y131:Y134)</f>
        <v>0</v>
      </c>
      <c r="Z135" s="253">
        <f t="shared" ref="Z135" si="327">Z136-SUM(Z131:Z134)</f>
        <v>0</v>
      </c>
      <c r="AA135" s="254">
        <f t="shared" si="309"/>
        <v>0</v>
      </c>
      <c r="AB135" s="253">
        <f>AB136-SUM(AB131:AB134)</f>
        <v>0</v>
      </c>
      <c r="AC135" s="253">
        <f t="shared" ref="AC135" si="328">AC136-SUM(AC131:AC134)</f>
        <v>0</v>
      </c>
      <c r="AD135" s="253">
        <f t="shared" ref="AD135:AE135" si="329">AD136-SUM(AD131:AD134)</f>
        <v>0</v>
      </c>
      <c r="AE135" s="253">
        <f t="shared" si="329"/>
        <v>0</v>
      </c>
      <c r="AF135" s="384">
        <f t="shared" si="311"/>
        <v>0</v>
      </c>
      <c r="AG135" s="255">
        <f>-(SUM(AG121,AG128,AG131:AG134)-AG140)</f>
        <v>-5.7523377276916108</v>
      </c>
      <c r="AH135" s="255">
        <f t="shared" ref="AH135:AJ135" si="330">-(SUM(AH121,AH128,AH131:AH134)-AH140)</f>
        <v>2.0969510194186114</v>
      </c>
      <c r="AI135" s="255">
        <f t="shared" si="330"/>
        <v>-31.13094197237524</v>
      </c>
      <c r="AJ135" s="255">
        <f t="shared" si="330"/>
        <v>41.756615594254981</v>
      </c>
      <c r="AK135" s="259">
        <f t="shared" si="312"/>
        <v>6.970286913606742</v>
      </c>
    </row>
    <row r="136" spans="1:37" s="34" customFormat="1" x14ac:dyDescent="0.25">
      <c r="A136" s="285" t="s">
        <v>38</v>
      </c>
      <c r="C136" s="265">
        <f>C192</f>
        <v>-1237</v>
      </c>
      <c r="D136" s="265">
        <f>D192-C192</f>
        <v>-1215</v>
      </c>
      <c r="E136" s="265">
        <f t="shared" ref="E136:F136" si="331">E192-D192</f>
        <v>-1042</v>
      </c>
      <c r="F136" s="265">
        <f t="shared" si="331"/>
        <v>-1270</v>
      </c>
      <c r="G136" s="261">
        <f t="shared" si="301"/>
        <v>-4764</v>
      </c>
      <c r="H136" s="265">
        <f>H192-G192</f>
        <v>-665</v>
      </c>
      <c r="I136" s="265">
        <f t="shared" ref="I136:K136" si="332">I192-H192</f>
        <v>-1751</v>
      </c>
      <c r="J136" s="265">
        <f t="shared" si="332"/>
        <v>-1417</v>
      </c>
      <c r="K136" s="265">
        <f t="shared" si="332"/>
        <v>-1133</v>
      </c>
      <c r="L136" s="261">
        <f t="shared" si="303"/>
        <v>-4966</v>
      </c>
      <c r="M136" s="265">
        <f>M192-L192</f>
        <v>-2223</v>
      </c>
      <c r="N136" s="265">
        <f t="shared" ref="N136:P136" si="333">N192-M192</f>
        <v>-937</v>
      </c>
      <c r="O136" s="265">
        <f t="shared" si="333"/>
        <v>-2125</v>
      </c>
      <c r="P136" s="265">
        <f t="shared" si="333"/>
        <v>-582</v>
      </c>
      <c r="Q136" s="261">
        <f t="shared" si="305"/>
        <v>-5867</v>
      </c>
      <c r="R136" s="265">
        <f>R192-Q192</f>
        <v>2100</v>
      </c>
      <c r="S136" s="265">
        <f t="shared" ref="S136:U136" si="334">S192-R192</f>
        <v>-409</v>
      </c>
      <c r="T136" s="265">
        <f t="shared" si="334"/>
        <v>-2468</v>
      </c>
      <c r="U136" s="265">
        <f t="shared" si="334"/>
        <v>-1375</v>
      </c>
      <c r="V136" s="261">
        <f t="shared" si="307"/>
        <v>-2152</v>
      </c>
      <c r="W136" s="265">
        <f>W192-V192</f>
        <v>-606</v>
      </c>
      <c r="X136" s="265">
        <f t="shared" ref="X136:Z136" si="335">X192-W192</f>
        <v>-2195</v>
      </c>
      <c r="Y136" s="265">
        <f t="shared" si="335"/>
        <v>-2137</v>
      </c>
      <c r="Z136" s="265">
        <f t="shared" si="335"/>
        <v>-1617</v>
      </c>
      <c r="AA136" s="261">
        <f t="shared" si="309"/>
        <v>-6555</v>
      </c>
      <c r="AB136" s="265">
        <f>AB192-AA192</f>
        <v>-2154</v>
      </c>
      <c r="AC136" s="265">
        <f t="shared" ref="AC136:AE136" si="336">AC192-AB192</f>
        <v>-2821</v>
      </c>
      <c r="AD136" s="265">
        <f t="shared" si="336"/>
        <v>-1739</v>
      </c>
      <c r="AE136" s="265">
        <f t="shared" si="336"/>
        <v>-3614</v>
      </c>
      <c r="AF136" s="385">
        <f t="shared" si="311"/>
        <v>-10328</v>
      </c>
      <c r="AG136" s="280">
        <f>SUM(AG131:AG135)</f>
        <v>-2175.7523377276916</v>
      </c>
      <c r="AH136" s="280">
        <f t="shared" ref="AH136:AJ136" si="337">SUM(AH131:AH135)</f>
        <v>-2167.9030489805814</v>
      </c>
      <c r="AI136" s="280">
        <f t="shared" si="337"/>
        <v>-2201.1309419723752</v>
      </c>
      <c r="AJ136" s="280">
        <f t="shared" si="337"/>
        <v>-2128.243384405745</v>
      </c>
      <c r="AK136" s="282">
        <f t="shared" si="312"/>
        <v>-8673.0297130863928</v>
      </c>
    </row>
    <row r="137" spans="1:37" x14ac:dyDescent="0.25">
      <c r="A137" s="271"/>
      <c r="C137" s="253"/>
      <c r="D137" s="253"/>
      <c r="E137" s="253"/>
      <c r="F137" s="253"/>
      <c r="G137" s="254"/>
      <c r="H137" s="253"/>
      <c r="I137" s="253"/>
      <c r="J137" s="253"/>
      <c r="K137" s="253"/>
      <c r="L137" s="254"/>
      <c r="M137" s="253"/>
      <c r="N137" s="253"/>
      <c r="O137" s="253"/>
      <c r="P137" s="253"/>
      <c r="Q137" s="254"/>
      <c r="R137" s="253"/>
      <c r="S137" s="253"/>
      <c r="T137" s="253"/>
      <c r="U137" s="253"/>
      <c r="V137" s="254"/>
      <c r="W137" s="253"/>
      <c r="X137" s="253"/>
      <c r="Y137" s="253"/>
      <c r="Z137" s="253"/>
      <c r="AA137" s="254"/>
      <c r="AB137" s="253"/>
      <c r="AC137" s="253"/>
      <c r="AD137" s="253"/>
      <c r="AE137" s="255"/>
      <c r="AF137" s="384"/>
      <c r="AG137" s="255"/>
      <c r="AH137" s="255"/>
      <c r="AI137" s="255"/>
      <c r="AJ137" s="255"/>
      <c r="AK137" s="259"/>
    </row>
    <row r="138" spans="1:37" x14ac:dyDescent="0.25">
      <c r="A138" s="274" t="s">
        <v>215</v>
      </c>
      <c r="C138" s="253">
        <f>C194</f>
        <v>23</v>
      </c>
      <c r="D138" s="253">
        <f>D194-C194</f>
        <v>100</v>
      </c>
      <c r="E138" s="253">
        <f t="shared" ref="E138:F138" si="338">E194-D194</f>
        <v>71</v>
      </c>
      <c r="F138" s="253">
        <f t="shared" si="338"/>
        <v>6</v>
      </c>
      <c r="G138" s="254">
        <f>SUM(C138:F138)</f>
        <v>200</v>
      </c>
      <c r="H138" s="253">
        <f>H194-G194</f>
        <v>95</v>
      </c>
      <c r="I138" s="253">
        <f t="shared" ref="I138:K138" si="339">I194-H194</f>
        <v>-21</v>
      </c>
      <c r="J138" s="253">
        <f t="shared" si="339"/>
        <v>-9</v>
      </c>
      <c r="K138" s="253">
        <f t="shared" si="339"/>
        <v>-71</v>
      </c>
      <c r="L138" s="254">
        <f>SUM(H138:K138)</f>
        <v>-6</v>
      </c>
      <c r="M138" s="253">
        <f>M194-L194</f>
        <v>-54</v>
      </c>
      <c r="N138" s="253">
        <f t="shared" ref="N138:P138" si="340">N194-M194</f>
        <v>28</v>
      </c>
      <c r="O138" s="253">
        <f t="shared" si="340"/>
        <v>-77</v>
      </c>
      <c r="P138" s="253">
        <f t="shared" si="340"/>
        <v>59</v>
      </c>
      <c r="Q138" s="254">
        <f>SUM(M138:P138)</f>
        <v>-44</v>
      </c>
      <c r="R138" s="253">
        <f>R194-Q194</f>
        <v>-88</v>
      </c>
      <c r="S138" s="253">
        <f t="shared" ref="S138:U138" si="341">S194-R194</f>
        <v>39</v>
      </c>
      <c r="T138" s="253">
        <f t="shared" si="341"/>
        <v>115</v>
      </c>
      <c r="U138" s="253">
        <f t="shared" si="341"/>
        <v>191</v>
      </c>
      <c r="V138" s="254">
        <f>SUM(R138:U138)</f>
        <v>257</v>
      </c>
      <c r="W138" s="253">
        <f>W194-V194</f>
        <v>-101</v>
      </c>
      <c r="X138" s="253">
        <f t="shared" ref="X138:Z138" si="342">X194-W194</f>
        <v>77</v>
      </c>
      <c r="Y138" s="253">
        <f t="shared" si="342"/>
        <v>-56</v>
      </c>
      <c r="Z138" s="253">
        <f t="shared" si="342"/>
        <v>-73</v>
      </c>
      <c r="AA138" s="254">
        <f>SUM(W138:Z138)</f>
        <v>-153</v>
      </c>
      <c r="AB138" s="253">
        <f>AB194-AA194</f>
        <v>-28</v>
      </c>
      <c r="AC138" s="253">
        <f t="shared" ref="AC138:AE138" si="343">AC194-AB194</f>
        <v>-174</v>
      </c>
      <c r="AD138" s="253">
        <f t="shared" si="343"/>
        <v>-185</v>
      </c>
      <c r="AE138" s="253">
        <f t="shared" si="343"/>
        <v>284</v>
      </c>
      <c r="AF138" s="384">
        <f>SUM(AB138:AE138)</f>
        <v>-103</v>
      </c>
      <c r="AG138" s="255">
        <v>0</v>
      </c>
      <c r="AH138" s="255">
        <v>0</v>
      </c>
      <c r="AI138" s="255">
        <v>0</v>
      </c>
      <c r="AJ138" s="255">
        <v>0</v>
      </c>
      <c r="AK138" s="259">
        <f>SUM(AG138:AJ138)</f>
        <v>0</v>
      </c>
    </row>
    <row r="139" spans="1:37" x14ac:dyDescent="0.25">
      <c r="A139" s="109"/>
      <c r="C139" s="253"/>
      <c r="D139" s="253"/>
      <c r="E139" s="253"/>
      <c r="F139" s="253"/>
      <c r="G139" s="254"/>
      <c r="H139" s="253"/>
      <c r="I139" s="253"/>
      <c r="J139" s="253"/>
      <c r="K139" s="253"/>
      <c r="L139" s="254"/>
      <c r="M139" s="253"/>
      <c r="N139" s="253"/>
      <c r="O139" s="253"/>
      <c r="P139" s="253"/>
      <c r="Q139" s="254"/>
      <c r="R139" s="253"/>
      <c r="S139" s="253"/>
      <c r="T139" s="253"/>
      <c r="U139" s="253"/>
      <c r="V139" s="254"/>
      <c r="W139" s="253"/>
      <c r="X139" s="253"/>
      <c r="Y139" s="253"/>
      <c r="Z139" s="253"/>
      <c r="AA139" s="254"/>
      <c r="AB139" s="253"/>
      <c r="AC139" s="253"/>
      <c r="AD139" s="253"/>
      <c r="AE139" s="255"/>
      <c r="AF139" s="384"/>
      <c r="AG139" s="255"/>
      <c r="AH139" s="255"/>
      <c r="AI139" s="255"/>
      <c r="AJ139" s="255"/>
      <c r="AK139" s="259"/>
    </row>
    <row r="140" spans="1:37" x14ac:dyDescent="0.25">
      <c r="A140" s="272" t="s">
        <v>216</v>
      </c>
      <c r="C140" s="253">
        <f>SUM(C138,C136,C128,C121)</f>
        <v>-715</v>
      </c>
      <c r="D140" s="253">
        <f t="shared" ref="D140:F140" si="344">SUM(D138,D136,D128,D121)</f>
        <v>-829</v>
      </c>
      <c r="E140" s="253">
        <f t="shared" si="344"/>
        <v>382</v>
      </c>
      <c r="F140" s="253">
        <f t="shared" si="344"/>
        <v>374</v>
      </c>
      <c r="G140" s="254">
        <f>SUM(C140:F140)</f>
        <v>-788</v>
      </c>
      <c r="H140" s="253">
        <f>SUM(H138,H136,H128,H121)</f>
        <v>832</v>
      </c>
      <c r="I140" s="253">
        <f t="shared" ref="I140:K140" si="345">SUM(I138,I136,I128,I121)</f>
        <v>-656</v>
      </c>
      <c r="J140" s="253">
        <f t="shared" si="345"/>
        <v>710</v>
      </c>
      <c r="K140" s="253">
        <f t="shared" si="345"/>
        <v>-141</v>
      </c>
      <c r="L140" s="254">
        <f>SUM(H140:K140)</f>
        <v>745</v>
      </c>
      <c r="M140" s="253">
        <f>SUM(M138,M136,M128,M121)</f>
        <v>-752</v>
      </c>
      <c r="N140" s="253">
        <f t="shared" ref="N140:P140" si="346">SUM(N138,N136,N128,N121)</f>
        <v>-140</v>
      </c>
      <c r="O140" s="253">
        <f t="shared" si="346"/>
        <v>-473</v>
      </c>
      <c r="P140" s="253">
        <f t="shared" si="346"/>
        <v>1997</v>
      </c>
      <c r="Q140" s="254">
        <f>SUM(M140:P140)</f>
        <v>632</v>
      </c>
      <c r="R140" s="253">
        <f>SUM(R138,R136,R128,R121)</f>
        <v>3364</v>
      </c>
      <c r="S140" s="253">
        <f t="shared" ref="S140:U140" si="347">SUM(S138,S136,S128,S121)</f>
        <v>969</v>
      </c>
      <c r="T140" s="253">
        <f t="shared" si="347"/>
        <v>-898</v>
      </c>
      <c r="U140" s="253">
        <f t="shared" si="347"/>
        <v>15</v>
      </c>
      <c r="V140" s="254">
        <f>SUM(R140:U140)</f>
        <v>3450</v>
      </c>
      <c r="W140" s="253">
        <f>SUM(W138,W136,W128,W121)</f>
        <v>-2804</v>
      </c>
      <c r="X140" s="253">
        <f t="shared" ref="X140:Z140" si="348">SUM(X138,X136,X128,X121)</f>
        <v>-992</v>
      </c>
      <c r="Y140" s="253">
        <f t="shared" si="348"/>
        <v>218</v>
      </c>
      <c r="Z140" s="253">
        <f t="shared" si="348"/>
        <v>1061</v>
      </c>
      <c r="AA140" s="254">
        <f>SUM(W140:Z140)</f>
        <v>-2517</v>
      </c>
      <c r="AB140" s="253">
        <f>SUM(AB138,AB136,AB128,AB121)</f>
        <v>-687</v>
      </c>
      <c r="AC140" s="253">
        <f t="shared" ref="AC140:AE140" si="349">SUM(AC138,AC136,AC128,AC121)</f>
        <v>-1063</v>
      </c>
      <c r="AD140" s="253">
        <f t="shared" si="349"/>
        <v>1624</v>
      </c>
      <c r="AE140" s="253">
        <f t="shared" si="349"/>
        <v>-580</v>
      </c>
      <c r="AF140" s="384">
        <f>SUM(AB140:AE140)</f>
        <v>-706</v>
      </c>
      <c r="AG140" s="255">
        <f>AG144-AE144</f>
        <v>-65.005172223398404</v>
      </c>
      <c r="AH140" s="255">
        <f t="shared" ref="AH140:AJ140" si="350">AH144-AG144</f>
        <v>453.14558097552072</v>
      </c>
      <c r="AI140" s="255">
        <f t="shared" si="350"/>
        <v>719.7391403477086</v>
      </c>
      <c r="AJ140" s="255">
        <f t="shared" si="350"/>
        <v>701.18309695202333</v>
      </c>
      <c r="AK140" s="259">
        <f>SUM(AG140:AJ140)</f>
        <v>1809.0626460518542</v>
      </c>
    </row>
    <row r="141" spans="1:37" x14ac:dyDescent="0.25">
      <c r="A141" s="109"/>
      <c r="AE141" s="55"/>
      <c r="AF141" s="384"/>
      <c r="AG141" s="255"/>
      <c r="AH141" s="255"/>
      <c r="AI141" s="255"/>
      <c r="AJ141" s="255"/>
      <c r="AK141" s="259"/>
    </row>
    <row r="142" spans="1:37" x14ac:dyDescent="0.25">
      <c r="A142" s="109"/>
      <c r="C142" s="253"/>
      <c r="D142" s="253"/>
      <c r="E142" s="253"/>
      <c r="F142" s="253"/>
      <c r="G142" s="254"/>
      <c r="H142" s="253"/>
      <c r="I142" s="253"/>
      <c r="J142" s="253"/>
      <c r="K142" s="253"/>
      <c r="L142" s="254"/>
      <c r="M142" s="253"/>
      <c r="N142" s="253"/>
      <c r="O142" s="253"/>
      <c r="P142" s="253"/>
      <c r="Q142" s="254"/>
      <c r="R142" s="253"/>
      <c r="S142" s="253"/>
      <c r="T142" s="253"/>
      <c r="U142" s="253"/>
      <c r="V142" s="254"/>
      <c r="W142" s="253"/>
      <c r="X142" s="253"/>
      <c r="Y142" s="253"/>
      <c r="Z142" s="253"/>
      <c r="AA142" s="254"/>
      <c r="AB142" s="253"/>
      <c r="AC142" s="253"/>
      <c r="AD142" s="253"/>
      <c r="AE142" s="255"/>
      <c r="AF142" s="384"/>
      <c r="AG142" s="255"/>
      <c r="AH142" s="255"/>
      <c r="AI142" s="255"/>
      <c r="AJ142" s="255"/>
      <c r="AK142" s="259"/>
    </row>
    <row r="143" spans="1:37" x14ac:dyDescent="0.25">
      <c r="A143" s="272" t="s">
        <v>217</v>
      </c>
      <c r="C143" s="253">
        <v>7264</v>
      </c>
      <c r="D143" s="253">
        <f>C144</f>
        <v>6549</v>
      </c>
      <c r="E143" s="253">
        <f t="shared" ref="E143:F143" si="351">D144</f>
        <v>5721</v>
      </c>
      <c r="F143" s="253">
        <f t="shared" si="351"/>
        <v>6104</v>
      </c>
      <c r="G143" s="254"/>
      <c r="H143" s="253">
        <f>F144</f>
        <v>6479</v>
      </c>
      <c r="I143" s="253">
        <f t="shared" ref="I143:J143" si="352">H144</f>
        <v>7438</v>
      </c>
      <c r="J143" s="253">
        <f t="shared" si="352"/>
        <v>6759</v>
      </c>
      <c r="K143" s="253">
        <f>J144</f>
        <v>7421</v>
      </c>
      <c r="L143" s="254"/>
      <c r="M143" s="253">
        <f>K144</f>
        <v>7235</v>
      </c>
      <c r="N143" s="253">
        <f t="shared" ref="N143:O143" si="353">M144</f>
        <v>6519</v>
      </c>
      <c r="O143" s="253">
        <f t="shared" si="353"/>
        <v>6353</v>
      </c>
      <c r="P143" s="253">
        <f>O144</f>
        <v>5767</v>
      </c>
      <c r="Q143" s="254"/>
      <c r="R143" s="253">
        <f>P144</f>
        <v>7572</v>
      </c>
      <c r="S143" s="253">
        <f t="shared" ref="S143:T143" si="354">R144</f>
        <v>10794</v>
      </c>
      <c r="T143" s="253">
        <f t="shared" si="354"/>
        <v>11724</v>
      </c>
      <c r="U143" s="253">
        <f>T144</f>
        <v>10811</v>
      </c>
      <c r="V143" s="254"/>
      <c r="W143" s="253">
        <f>U144</f>
        <v>10699</v>
      </c>
      <c r="X143" s="253">
        <f t="shared" ref="X143:Y143" si="355">W144</f>
        <v>7832</v>
      </c>
      <c r="Y143" s="253">
        <f t="shared" si="355"/>
        <v>6802</v>
      </c>
      <c r="Z143" s="253">
        <f>Y144</f>
        <v>6992</v>
      </c>
      <c r="AA143" s="254"/>
      <c r="AB143" s="253">
        <f>Z144</f>
        <v>8007</v>
      </c>
      <c r="AC143" s="253">
        <f t="shared" ref="AC143:AD143" si="356">AB144</f>
        <v>7328</v>
      </c>
      <c r="AD143" s="378">
        <f t="shared" si="356"/>
        <v>6505</v>
      </c>
      <c r="AE143" s="378">
        <f>AD144</f>
        <v>8219</v>
      </c>
      <c r="AF143" s="384"/>
      <c r="AG143" s="255">
        <f>AE144</f>
        <v>7597</v>
      </c>
      <c r="AH143" s="255">
        <f t="shared" ref="AH143:AJ143" si="357">AG144</f>
        <v>7531.9948277766016</v>
      </c>
      <c r="AI143" s="255">
        <f t="shared" si="357"/>
        <v>7985.1404087521223</v>
      </c>
      <c r="AJ143" s="255">
        <f t="shared" si="357"/>
        <v>8704.8795490998309</v>
      </c>
      <c r="AK143" s="259"/>
    </row>
    <row r="144" spans="1:37" x14ac:dyDescent="0.25">
      <c r="A144" s="272" t="s">
        <v>218</v>
      </c>
      <c r="C144" s="253">
        <f>C56</f>
        <v>6549</v>
      </c>
      <c r="D144" s="253">
        <f>D56</f>
        <v>5721</v>
      </c>
      <c r="E144" s="253">
        <f>E56</f>
        <v>6104</v>
      </c>
      <c r="F144" s="253">
        <f>F56</f>
        <v>6479</v>
      </c>
      <c r="G144" s="254"/>
      <c r="H144" s="253">
        <f>H56</f>
        <v>7438</v>
      </c>
      <c r="I144" s="253">
        <f>I56</f>
        <v>6759</v>
      </c>
      <c r="J144" s="253">
        <f>J56</f>
        <v>7421</v>
      </c>
      <c r="K144" s="253">
        <f>K56</f>
        <v>7235</v>
      </c>
      <c r="L144" s="254"/>
      <c r="M144" s="253">
        <f>M56</f>
        <v>6519</v>
      </c>
      <c r="N144" s="253">
        <f>N56</f>
        <v>6353</v>
      </c>
      <c r="O144" s="253">
        <f>O56</f>
        <v>5767</v>
      </c>
      <c r="P144" s="253">
        <f>P56</f>
        <v>7572</v>
      </c>
      <c r="Q144" s="254"/>
      <c r="R144" s="253">
        <f>R56</f>
        <v>10794</v>
      </c>
      <c r="S144" s="253">
        <f>S56</f>
        <v>11724</v>
      </c>
      <c r="T144" s="253">
        <f>T56</f>
        <v>10811</v>
      </c>
      <c r="U144" s="253">
        <f>U56</f>
        <v>10699</v>
      </c>
      <c r="V144" s="254"/>
      <c r="W144" s="253">
        <f>W56</f>
        <v>7832</v>
      </c>
      <c r="X144" s="253">
        <f>X56</f>
        <v>6802</v>
      </c>
      <c r="Y144" s="253">
        <f>Y56</f>
        <v>6992</v>
      </c>
      <c r="Z144" s="253">
        <f>Z56</f>
        <v>8007</v>
      </c>
      <c r="AA144" s="254"/>
      <c r="AB144" s="253">
        <f>AB56</f>
        <v>7328</v>
      </c>
      <c r="AC144" s="253">
        <f>AC56</f>
        <v>6505</v>
      </c>
      <c r="AD144" s="378">
        <f>AD56</f>
        <v>8219</v>
      </c>
      <c r="AE144" s="378">
        <f>AE56</f>
        <v>7597</v>
      </c>
      <c r="AF144" s="384"/>
      <c r="AG144" s="255">
        <f>AG56</f>
        <v>7531.9948277766016</v>
      </c>
      <c r="AH144" s="255">
        <f t="shared" ref="AH144:AJ144" si="358">AH56</f>
        <v>7985.1404087521223</v>
      </c>
      <c r="AI144" s="255">
        <f t="shared" si="358"/>
        <v>8704.8795490998309</v>
      </c>
      <c r="AJ144" s="255">
        <f t="shared" si="358"/>
        <v>9406.0626460518542</v>
      </c>
      <c r="AK144" s="259"/>
    </row>
    <row r="145" spans="1:37" x14ac:dyDescent="0.25">
      <c r="AE145" s="55"/>
      <c r="AF145" s="168"/>
      <c r="AG145" s="55"/>
      <c r="AH145" s="55"/>
      <c r="AI145" s="55"/>
      <c r="AJ145" s="55"/>
      <c r="AK145" s="177"/>
    </row>
    <row r="146" spans="1:37" x14ac:dyDescent="0.25">
      <c r="AE146" s="55"/>
      <c r="AF146" s="168"/>
      <c r="AG146" s="55"/>
      <c r="AH146" s="55"/>
      <c r="AI146" s="55"/>
      <c r="AJ146" s="55"/>
      <c r="AK146" s="177"/>
    </row>
    <row r="147" spans="1:37" x14ac:dyDescent="0.25">
      <c r="AE147" s="55"/>
      <c r="AF147" s="168"/>
      <c r="AG147" s="55"/>
      <c r="AH147" s="55"/>
      <c r="AI147" s="55"/>
      <c r="AJ147" s="55"/>
      <c r="AK147" s="177"/>
    </row>
    <row r="148" spans="1:37" x14ac:dyDescent="0.25">
      <c r="A148" s="30" t="s">
        <v>249</v>
      </c>
      <c r="AE148" s="55"/>
      <c r="AF148" s="168"/>
      <c r="AG148" s="55"/>
      <c r="AH148" s="55"/>
      <c r="AI148" s="55"/>
      <c r="AJ148" s="55"/>
      <c r="AK148" s="177"/>
    </row>
    <row r="149" spans="1:37" x14ac:dyDescent="0.25">
      <c r="AE149" s="55"/>
      <c r="AF149" s="168"/>
      <c r="AG149" s="55"/>
      <c r="AH149" s="55"/>
      <c r="AI149" s="55"/>
      <c r="AJ149" s="55"/>
      <c r="AK149" s="177"/>
    </row>
    <row r="150" spans="1:37" s="34" customFormat="1" x14ac:dyDescent="0.25">
      <c r="A150" s="34" t="s">
        <v>220</v>
      </c>
      <c r="C150" s="269">
        <f>-C124-C125</f>
        <v>94</v>
      </c>
      <c r="D150" s="269">
        <f t="shared" ref="D150:F150" si="359">-D124-D125</f>
        <v>74</v>
      </c>
      <c r="E150" s="269">
        <f t="shared" si="359"/>
        <v>133</v>
      </c>
      <c r="F150" s="269">
        <f t="shared" si="359"/>
        <v>122</v>
      </c>
      <c r="G150" s="270">
        <f>SUM(C150:F150)</f>
        <v>423</v>
      </c>
      <c r="H150" s="269">
        <f>-H124-H125</f>
        <v>126</v>
      </c>
      <c r="I150" s="269">
        <f t="shared" ref="I150:K150" si="360">-I124-I125</f>
        <v>125</v>
      </c>
      <c r="J150" s="269">
        <f t="shared" si="360"/>
        <v>130</v>
      </c>
      <c r="K150" s="269">
        <f t="shared" si="360"/>
        <v>123</v>
      </c>
      <c r="L150" s="270">
        <f>SUM(H150:K150)</f>
        <v>504</v>
      </c>
      <c r="M150" s="269">
        <f>-M124-M125</f>
        <v>142</v>
      </c>
      <c r="N150" s="269">
        <f t="shared" ref="N150:P150" si="361">-N124-N125</f>
        <v>182</v>
      </c>
      <c r="O150" s="269">
        <f t="shared" si="361"/>
        <v>219</v>
      </c>
      <c r="P150" s="269">
        <f t="shared" si="361"/>
        <v>185</v>
      </c>
      <c r="Q150" s="270">
        <f>SUM(M150:P150)</f>
        <v>728</v>
      </c>
      <c r="R150" s="269">
        <f>-R124-R125</f>
        <v>209</v>
      </c>
      <c r="S150" s="269">
        <f t="shared" ref="S150:U150" si="362">-S124-S125</f>
        <v>183</v>
      </c>
      <c r="T150" s="269">
        <f t="shared" si="362"/>
        <v>165</v>
      </c>
      <c r="U150" s="269">
        <f t="shared" si="362"/>
        <v>151</v>
      </c>
      <c r="V150" s="270">
        <f>SUM(R150:U150)</f>
        <v>708</v>
      </c>
      <c r="W150" s="269">
        <f>-W124-W125</f>
        <v>144</v>
      </c>
      <c r="X150" s="269">
        <f t="shared" ref="X150:Z150" si="363">-X124-X125</f>
        <v>308</v>
      </c>
      <c r="Y150" s="269">
        <f t="shared" si="363"/>
        <v>175</v>
      </c>
      <c r="Z150" s="269">
        <f t="shared" si="363"/>
        <v>169</v>
      </c>
      <c r="AA150" s="270">
        <f>SUM(W150:Z150)</f>
        <v>796</v>
      </c>
      <c r="AB150" s="269">
        <f>-AB124-AB125</f>
        <v>294</v>
      </c>
      <c r="AC150" s="269">
        <f t="shared" ref="AC150:AE150" si="364">-AC124-AC125</f>
        <v>110</v>
      </c>
      <c r="AD150" s="269">
        <f t="shared" si="364"/>
        <v>354</v>
      </c>
      <c r="AE150" s="269">
        <f t="shared" si="364"/>
        <v>164</v>
      </c>
      <c r="AF150" s="386">
        <f>SUM(AB150:AE150)</f>
        <v>922</v>
      </c>
      <c r="AG150" s="275">
        <f>AG151*AG11</f>
        <v>272.40397495223363</v>
      </c>
      <c r="AH150" s="275">
        <f>AH151*AH11</f>
        <v>324.11040919378928</v>
      </c>
      <c r="AI150" s="275">
        <f>AI151*AI11</f>
        <v>307.42920240197731</v>
      </c>
      <c r="AJ150" s="275">
        <f>AJ151*AJ11</f>
        <v>384.74118351855145</v>
      </c>
      <c r="AK150" s="284">
        <f>SUM(AG150:AJ150)</f>
        <v>1288.6847700665517</v>
      </c>
    </row>
    <row r="151" spans="1:37" x14ac:dyDescent="0.25">
      <c r="A151" s="36" t="s">
        <v>221</v>
      </c>
      <c r="C151" s="225">
        <f t="shared" ref="C151:AE151" si="365">C150/C11</f>
        <v>3.4381858083394293E-2</v>
      </c>
      <c r="D151" s="225">
        <f t="shared" si="365"/>
        <v>2.4238453979692105E-2</v>
      </c>
      <c r="E151" s="225">
        <f t="shared" si="365"/>
        <v>3.9140670982931135E-2</v>
      </c>
      <c r="F151" s="225">
        <f t="shared" si="365"/>
        <v>3.6835748792270528E-2</v>
      </c>
      <c r="G151" s="226">
        <f t="shared" si="365"/>
        <v>3.3848123549651915E-2</v>
      </c>
      <c r="H151" s="225">
        <f t="shared" si="365"/>
        <v>3.5195530726256981E-2</v>
      </c>
      <c r="I151" s="225">
        <f t="shared" si="365"/>
        <v>3.4106412005457026E-2</v>
      </c>
      <c r="J151" s="225">
        <f t="shared" si="365"/>
        <v>3.3350436121087734E-2</v>
      </c>
      <c r="K151" s="225">
        <f t="shared" si="365"/>
        <v>3.2308904649330179E-2</v>
      </c>
      <c r="L151" s="226">
        <f t="shared" si="365"/>
        <v>3.3712374581939798E-2</v>
      </c>
      <c r="M151" s="225">
        <f t="shared" si="365"/>
        <v>3.6513242478786317E-2</v>
      </c>
      <c r="N151" s="225">
        <f t="shared" si="365"/>
        <v>4.4249939217116459E-2</v>
      </c>
      <c r="O151" s="225">
        <f t="shared" si="365"/>
        <v>4.9026192075218265E-2</v>
      </c>
      <c r="P151" s="225">
        <f t="shared" si="365"/>
        <v>4.1912097870412328E-2</v>
      </c>
      <c r="Q151" s="226">
        <f t="shared" si="365"/>
        <v>4.3120298525143638E-2</v>
      </c>
      <c r="R151" s="225">
        <f t="shared" si="365"/>
        <v>5.2132701421800945E-2</v>
      </c>
      <c r="S151" s="225">
        <f t="shared" si="365"/>
        <v>5.4872563718140928E-2</v>
      </c>
      <c r="T151" s="225">
        <f t="shared" si="365"/>
        <v>4.300234558248632E-2</v>
      </c>
      <c r="U151" s="225">
        <f t="shared" si="365"/>
        <v>3.6650485436893206E-2</v>
      </c>
      <c r="V151" s="226">
        <f t="shared" si="365"/>
        <v>4.6271485523821973E-2</v>
      </c>
      <c r="W151" s="225">
        <f t="shared" si="365"/>
        <v>3.4657039711191336E-2</v>
      </c>
      <c r="X151" s="225">
        <f t="shared" si="365"/>
        <v>6.8021201413427559E-2</v>
      </c>
      <c r="Y151" s="225">
        <f t="shared" si="365"/>
        <v>3.5105315947843531E-2</v>
      </c>
      <c r="Z151" s="225">
        <f t="shared" si="365"/>
        <v>3.2400306748466258E-2</v>
      </c>
      <c r="AA151" s="226">
        <f t="shared" si="365"/>
        <v>4.2152086422368146E-2</v>
      </c>
      <c r="AB151" s="225">
        <f t="shared" si="365"/>
        <v>5.7231847381740315E-2</v>
      </c>
      <c r="AC151" s="225">
        <f t="shared" si="365"/>
        <v>2.0032780914223274E-2</v>
      </c>
      <c r="AD151" s="225">
        <f t="shared" si="365"/>
        <v>6.1501042390548995E-2</v>
      </c>
      <c r="AE151" s="225">
        <f t="shared" si="365"/>
        <v>2.8193226749183429E-2</v>
      </c>
      <c r="AF151" s="387">
        <f>AF150/AF11</f>
        <v>4.1587731168245379E-2</v>
      </c>
      <c r="AG151" s="159">
        <v>0.05</v>
      </c>
      <c r="AH151" s="305">
        <v>5.2999999999999999E-2</v>
      </c>
      <c r="AI151" s="305">
        <v>4.7E-2</v>
      </c>
      <c r="AJ151" s="159">
        <v>0.06</v>
      </c>
      <c r="AK151" s="228">
        <f>AK150/AK11</f>
        <v>5.2563398923435992E-2</v>
      </c>
    </row>
    <row r="152" spans="1:37" x14ac:dyDescent="0.25">
      <c r="A152" s="36" t="s">
        <v>222</v>
      </c>
      <c r="C152" s="213">
        <f>C150/C68</f>
        <v>0.12566844919786097</v>
      </c>
      <c r="D152" s="213">
        <f>D150/D68</f>
        <v>8.7573964497041426E-2</v>
      </c>
      <c r="E152" s="213">
        <f>E150/E68</f>
        <v>0.14761376248612654</v>
      </c>
      <c r="F152" s="213">
        <f>F150/F68</f>
        <v>0.1471652593486128</v>
      </c>
      <c r="H152" s="213">
        <f>H150/H68</f>
        <v>0.1501787842669845</v>
      </c>
      <c r="I152" s="213">
        <f>I150/I68</f>
        <v>0.14534883720930233</v>
      </c>
      <c r="J152" s="213">
        <f>J150/J68</f>
        <v>0.14840182648401826</v>
      </c>
      <c r="K152" s="213">
        <f>K150/K68</f>
        <v>0.13355048859934854</v>
      </c>
      <c r="M152" s="213">
        <f>M150/M68</f>
        <v>0.10881226053639846</v>
      </c>
      <c r="N152" s="213">
        <f>N150/N68</f>
        <v>0.13501483679525222</v>
      </c>
      <c r="O152" s="213">
        <f>O150/O68</f>
        <v>0.14678284182305629</v>
      </c>
      <c r="P152" s="213">
        <f>P150/P68</f>
        <v>0.1012035010940919</v>
      </c>
      <c r="R152" s="213">
        <f>R150/R68</f>
        <v>0.10994213571804314</v>
      </c>
      <c r="S152" s="213">
        <f>S150/S68</f>
        <v>9.7756410256410256E-2</v>
      </c>
      <c r="T152" s="213">
        <f>T150/T68</f>
        <v>8.7440381558028621E-2</v>
      </c>
      <c r="U152" s="213">
        <f>U150/U68</f>
        <v>7.9390115667718197E-2</v>
      </c>
      <c r="W152" s="213">
        <f>W150/W68</f>
        <v>7.7837837837837834E-2</v>
      </c>
      <c r="X152" s="213">
        <f>X150/X68</f>
        <v>0.16748232735182164</v>
      </c>
      <c r="Y152" s="213">
        <f>Y150/Y68</f>
        <v>9.4086021505376344E-2</v>
      </c>
      <c r="Z152" s="213">
        <f>Z150/Z68</f>
        <v>8.8620870477189306E-2</v>
      </c>
      <c r="AB152" s="213">
        <f>AB150/AB68</f>
        <v>0.15022994379151763</v>
      </c>
      <c r="AC152" s="213">
        <f>AC150/AC68</f>
        <v>5.6410256410256411E-2</v>
      </c>
      <c r="AD152" s="213">
        <f>AD150/AD68</f>
        <v>0.1814454126089185</v>
      </c>
      <c r="AE152" s="213">
        <f>AE150/AE68</f>
        <v>8.175473579262213E-2</v>
      </c>
      <c r="AF152" s="168"/>
      <c r="AG152" s="55"/>
      <c r="AH152" s="55"/>
      <c r="AI152" s="55"/>
      <c r="AJ152" s="55"/>
      <c r="AK152" s="177"/>
    </row>
    <row r="153" spans="1:37" x14ac:dyDescent="0.25">
      <c r="A153" s="36"/>
      <c r="C153" s="213"/>
      <c r="D153" s="213"/>
      <c r="E153" s="213"/>
      <c r="F153" s="213"/>
      <c r="H153" s="213"/>
      <c r="I153" s="213"/>
      <c r="J153" s="213"/>
      <c r="K153" s="213"/>
      <c r="M153" s="213"/>
      <c r="N153" s="213"/>
      <c r="O153" s="213"/>
      <c r="P153" s="213"/>
      <c r="R153" s="213"/>
      <c r="S153" s="213"/>
      <c r="T153" s="213"/>
      <c r="U153" s="213"/>
      <c r="W153" s="213"/>
      <c r="X153" s="213"/>
      <c r="Y153" s="213"/>
      <c r="Z153" s="213"/>
      <c r="AB153" s="213"/>
      <c r="AC153" s="213"/>
      <c r="AD153" s="213"/>
      <c r="AE153" s="279"/>
      <c r="AF153" s="168"/>
      <c r="AG153" s="55"/>
      <c r="AH153" s="55"/>
      <c r="AI153" s="55"/>
      <c r="AJ153" s="55"/>
      <c r="AK153" s="177"/>
    </row>
    <row r="154" spans="1:37" x14ac:dyDescent="0.25">
      <c r="A154" s="35" t="s">
        <v>83</v>
      </c>
      <c r="C154" s="269">
        <f t="shared" ref="C154:F155" si="366">C20</f>
        <v>92</v>
      </c>
      <c r="D154" s="269">
        <f t="shared" si="366"/>
        <v>111</v>
      </c>
      <c r="E154" s="269">
        <f t="shared" si="366"/>
        <v>118</v>
      </c>
      <c r="F154" s="269">
        <f t="shared" si="366"/>
        <v>116</v>
      </c>
      <c r="G154" s="270">
        <f>SUM(C154:F154)</f>
        <v>437</v>
      </c>
      <c r="H154" s="269">
        <f t="shared" ref="H154:K155" si="367">H20</f>
        <v>120</v>
      </c>
      <c r="I154" s="269">
        <f t="shared" si="367"/>
        <v>115</v>
      </c>
      <c r="J154" s="269">
        <f t="shared" si="367"/>
        <v>111</v>
      </c>
      <c r="K154" s="269">
        <f t="shared" si="367"/>
        <v>113</v>
      </c>
      <c r="L154" s="270">
        <f>SUM(H154:K154)</f>
        <v>459</v>
      </c>
      <c r="M154" s="269">
        <f t="shared" ref="M154:P155" si="368">M20</f>
        <v>117</v>
      </c>
      <c r="N154" s="269">
        <f t="shared" si="368"/>
        <v>122</v>
      </c>
      <c r="O154" s="269">
        <f t="shared" si="368"/>
        <v>137</v>
      </c>
      <c r="P154" s="269">
        <f t="shared" si="368"/>
        <v>146</v>
      </c>
      <c r="Q154" s="270">
        <f>SUM(M154:P154)</f>
        <v>522</v>
      </c>
      <c r="R154" s="269">
        <f t="shared" ref="R154:U155" si="369">R20</f>
        <v>144</v>
      </c>
      <c r="S154" s="269">
        <f t="shared" si="369"/>
        <v>145</v>
      </c>
      <c r="T154" s="269">
        <f t="shared" si="369"/>
        <v>141</v>
      </c>
      <c r="U154" s="269">
        <f t="shared" si="369"/>
        <v>150</v>
      </c>
      <c r="V154" s="270">
        <f>SUM(R154:U154)</f>
        <v>580</v>
      </c>
      <c r="W154" s="269">
        <f t="shared" ref="W154:Z155" si="370">W20</f>
        <v>163</v>
      </c>
      <c r="X154" s="269">
        <f t="shared" si="370"/>
        <v>186</v>
      </c>
      <c r="Y154" s="269">
        <f t="shared" si="370"/>
        <v>188</v>
      </c>
      <c r="Z154" s="269">
        <f t="shared" si="370"/>
        <v>189</v>
      </c>
      <c r="AA154" s="270">
        <f>SUM(W154:Z154)</f>
        <v>726</v>
      </c>
      <c r="AB154" s="269">
        <f t="shared" ref="AB154:AE155" si="371">AB20</f>
        <v>837</v>
      </c>
      <c r="AC154" s="269">
        <f t="shared" si="371"/>
        <v>189</v>
      </c>
      <c r="AD154" s="269">
        <f t="shared" si="371"/>
        <v>185</v>
      </c>
      <c r="AE154" s="269">
        <f t="shared" si="371"/>
        <v>184</v>
      </c>
      <c r="AF154" s="386">
        <f>SUM(AB154:AE154)</f>
        <v>1395</v>
      </c>
      <c r="AG154" s="275">
        <f t="shared" ref="AG154:AJ155" si="372">AG20</f>
        <v>863.78399999999999</v>
      </c>
      <c r="AH154" s="275">
        <f t="shared" si="372"/>
        <v>195.048</v>
      </c>
      <c r="AI154" s="275">
        <f t="shared" si="372"/>
        <v>190.92000000000002</v>
      </c>
      <c r="AJ154" s="275">
        <f t="shared" si="372"/>
        <v>189.88800000000001</v>
      </c>
      <c r="AK154" s="259">
        <f>SUM(AG154:AJ154)</f>
        <v>1439.6399999999999</v>
      </c>
    </row>
    <row r="155" spans="1:37" x14ac:dyDescent="0.25">
      <c r="A155" s="36" t="s">
        <v>221</v>
      </c>
      <c r="C155" s="293">
        <f t="shared" si="366"/>
        <v>3.3650329188002925E-2</v>
      </c>
      <c r="D155" s="293">
        <f t="shared" si="366"/>
        <v>3.6357680969538161E-2</v>
      </c>
      <c r="E155" s="293">
        <f t="shared" si="366"/>
        <v>3.4726309593878756E-2</v>
      </c>
      <c r="F155" s="293">
        <f t="shared" si="366"/>
        <v>3.5024154589371984E-2</v>
      </c>
      <c r="G155" s="233">
        <f>G21</f>
        <v>3.49683924141794E-2</v>
      </c>
      <c r="H155" s="293">
        <f t="shared" si="367"/>
        <v>3.3519553072625698E-2</v>
      </c>
      <c r="I155" s="293">
        <f t="shared" si="367"/>
        <v>3.1377899045020467E-2</v>
      </c>
      <c r="J155" s="293">
        <f t="shared" si="367"/>
        <v>2.8476141611082608E-2</v>
      </c>
      <c r="K155" s="293">
        <f t="shared" si="367"/>
        <v>2.9682164433937484E-2</v>
      </c>
      <c r="L155" s="233">
        <f>L21</f>
        <v>3.0702341137123747E-2</v>
      </c>
      <c r="M155" s="293">
        <f t="shared" si="368"/>
        <v>3.0084854718436617E-2</v>
      </c>
      <c r="N155" s="293">
        <f t="shared" si="368"/>
        <v>2.9662047167517629E-2</v>
      </c>
      <c r="O155" s="293">
        <f t="shared" si="368"/>
        <v>3.0669353033355721E-2</v>
      </c>
      <c r="P155" s="293">
        <f t="shared" si="368"/>
        <v>3.3076574535568642E-2</v>
      </c>
      <c r="Q155" s="233">
        <f>Q21</f>
        <v>3.0918675590831012E-2</v>
      </c>
      <c r="R155" s="293">
        <f t="shared" si="369"/>
        <v>3.5919181840858072E-2</v>
      </c>
      <c r="S155" s="293">
        <f t="shared" si="369"/>
        <v>4.3478260869565216E-2</v>
      </c>
      <c r="T155" s="293">
        <f t="shared" si="369"/>
        <v>3.6747458952306487E-2</v>
      </c>
      <c r="U155" s="293">
        <f t="shared" si="369"/>
        <v>3.640776699029126E-2</v>
      </c>
      <c r="V155" s="233">
        <f>V21</f>
        <v>3.7906019214430431E-2</v>
      </c>
      <c r="W155" s="293">
        <f t="shared" si="370"/>
        <v>3.9229843561973524E-2</v>
      </c>
      <c r="X155" s="293">
        <f t="shared" si="370"/>
        <v>4.1077738515901061E-2</v>
      </c>
      <c r="Y155" s="293">
        <f t="shared" si="370"/>
        <v>3.7713139418254764E-2</v>
      </c>
      <c r="Z155" s="293">
        <f t="shared" si="370"/>
        <v>3.6234662576687116E-2</v>
      </c>
      <c r="AA155" s="233">
        <f>AA21</f>
        <v>3.8445244651556874E-2</v>
      </c>
      <c r="AB155" s="293">
        <f t="shared" si="371"/>
        <v>0.16293556550515864</v>
      </c>
      <c r="AC155" s="293">
        <f t="shared" si="371"/>
        <v>3.4419959934438173E-2</v>
      </c>
      <c r="AD155" s="293">
        <f t="shared" si="371"/>
        <v>3.2140375260597639E-2</v>
      </c>
      <c r="AE155" s="293">
        <f t="shared" si="371"/>
        <v>3.1631425133230189E-2</v>
      </c>
      <c r="AF155" s="388">
        <f>AF21</f>
        <v>6.2922868741542626E-2</v>
      </c>
      <c r="AG155" s="306">
        <f t="shared" si="372"/>
        <v>3.2000000000000001E-2</v>
      </c>
      <c r="AH155" s="306">
        <f t="shared" si="372"/>
        <v>3.2000000000000001E-2</v>
      </c>
      <c r="AI155" s="306">
        <f t="shared" si="372"/>
        <v>3.2000000000000001E-2</v>
      </c>
      <c r="AJ155" s="306">
        <f t="shared" si="372"/>
        <v>3.2000000000000001E-2</v>
      </c>
      <c r="AK155" s="307">
        <f>AK21</f>
        <v>5.872062228393328E-2</v>
      </c>
    </row>
    <row r="156" spans="1:37" x14ac:dyDescent="0.25">
      <c r="A156" s="36"/>
      <c r="C156" s="293"/>
      <c r="D156" s="293"/>
      <c r="E156" s="293"/>
      <c r="F156" s="293"/>
      <c r="G156" s="233"/>
      <c r="H156" s="293"/>
      <c r="I156" s="293"/>
      <c r="J156" s="293"/>
      <c r="K156" s="293"/>
      <c r="L156" s="233"/>
      <c r="M156" s="293"/>
      <c r="N156" s="293"/>
      <c r="O156" s="293"/>
      <c r="P156" s="293"/>
      <c r="Q156" s="233"/>
      <c r="R156" s="293"/>
      <c r="S156" s="293"/>
      <c r="T156" s="293"/>
      <c r="U156" s="293"/>
      <c r="V156" s="233"/>
      <c r="W156" s="293"/>
      <c r="X156" s="293"/>
      <c r="Y156" s="293"/>
      <c r="Z156" s="293"/>
      <c r="AA156" s="233"/>
      <c r="AB156" s="293"/>
      <c r="AC156" s="293"/>
      <c r="AD156" s="293"/>
      <c r="AE156" s="306"/>
      <c r="AF156" s="388"/>
      <c r="AG156" s="306"/>
      <c r="AH156" s="306"/>
      <c r="AI156" s="306"/>
      <c r="AJ156" s="306"/>
      <c r="AK156" s="177"/>
    </row>
    <row r="157" spans="1:37" x14ac:dyDescent="0.25">
      <c r="A157" s="35" t="s">
        <v>248</v>
      </c>
      <c r="C157" s="269">
        <f>C120</f>
        <v>-758</v>
      </c>
      <c r="D157" s="269">
        <f t="shared" ref="D157:F157" si="373">D120</f>
        <v>-274</v>
      </c>
      <c r="E157" s="269">
        <f t="shared" si="373"/>
        <v>-33</v>
      </c>
      <c r="F157" s="269">
        <f t="shared" si="373"/>
        <v>217</v>
      </c>
      <c r="G157" s="270">
        <f>SUM(C157:F157)</f>
        <v>-848</v>
      </c>
      <c r="H157" s="269">
        <f>H120</f>
        <v>-832</v>
      </c>
      <c r="I157" s="269">
        <f t="shared" ref="I157:K157" si="374">I120</f>
        <v>-652</v>
      </c>
      <c r="J157" s="269">
        <f t="shared" si="374"/>
        <v>78</v>
      </c>
      <c r="K157" s="269">
        <f t="shared" si="374"/>
        <v>-631</v>
      </c>
      <c r="L157" s="270">
        <f>SUM(H157:K157)</f>
        <v>-2037</v>
      </c>
      <c r="M157" s="269">
        <f>M120</f>
        <v>-1079</v>
      </c>
      <c r="N157" s="269">
        <f t="shared" ref="N157:P157" si="375">N120</f>
        <v>-244</v>
      </c>
      <c r="O157" s="269">
        <f t="shared" si="375"/>
        <v>-396</v>
      </c>
      <c r="P157" s="269">
        <f t="shared" si="375"/>
        <v>593</v>
      </c>
      <c r="Q157" s="270">
        <f>SUM(M157:P157)</f>
        <v>-1126</v>
      </c>
      <c r="R157" s="269">
        <f>R120</f>
        <v>-573</v>
      </c>
      <c r="S157" s="269">
        <f t="shared" ref="S157:U157" si="376">S120</f>
        <v>-320</v>
      </c>
      <c r="T157" s="269">
        <f t="shared" si="376"/>
        <v>-437</v>
      </c>
      <c r="U157" s="269">
        <f t="shared" si="376"/>
        <v>-34</v>
      </c>
      <c r="V157" s="270">
        <f>SUM(R157:U157)</f>
        <v>-1364</v>
      </c>
      <c r="W157" s="269">
        <f>W120</f>
        <v>483</v>
      </c>
      <c r="X157" s="269">
        <f t="shared" ref="X157:Z157" si="377">X120</f>
        <v>-99</v>
      </c>
      <c r="Y157" s="269">
        <f t="shared" si="377"/>
        <v>-114</v>
      </c>
      <c r="Z157" s="269">
        <f t="shared" si="377"/>
        <v>494</v>
      </c>
      <c r="AA157" s="270">
        <f>SUM(W157:Z157)</f>
        <v>764</v>
      </c>
      <c r="AB157" s="269">
        <f>AB120</f>
        <v>-630</v>
      </c>
      <c r="AC157" s="269">
        <f t="shared" ref="AC157" si="378">AC120</f>
        <v>-550</v>
      </c>
      <c r="AD157" s="269">
        <f>AD120</f>
        <v>850</v>
      </c>
      <c r="AE157" s="269">
        <f>AE120</f>
        <v>26</v>
      </c>
      <c r="AF157" s="386">
        <f>SUM(AB157:AE157)</f>
        <v>-304</v>
      </c>
      <c r="AG157" s="275">
        <f>(SUM(AE58,AE60,AE62:AE63)-SUM(AE79,AE81,AE83,AE85,AE87:AE88))-(SUM(AG58,AG60,AG62:AG63)-SUM(AG79,AG81,AG83,AG85,AG87:AG88))</f>
        <v>-243.49626213312695</v>
      </c>
      <c r="AH157" s="275">
        <f>(SUM(AG58,AG60,AG62:AG63)-SUM(AG79,AG81,AG83,AG85,AG87:AG88))-(SUM(AH58,AH60,AH62:AH63)-SUM(AH79,AH81,AH83,AH85,AH87:AH88))</f>
        <v>-173.86037806443164</v>
      </c>
      <c r="AI157" s="275">
        <f t="shared" ref="AI157:AJ157" si="379">(SUM(AH58,AH60,AH62:AH63)-SUM(AH79,AH81,AH83,AH85,AH87:AH88))-(SUM(AI58,AI60,AI62:AI63)-SUM(AI79,AI81,AI83,AI85,AI87:AI88))</f>
        <v>-67.522516885270306</v>
      </c>
      <c r="AJ157" s="275">
        <f t="shared" si="379"/>
        <v>183.38944153830198</v>
      </c>
      <c r="AK157" s="284">
        <f>SUM(AG157:AJ157)</f>
        <v>-301.48971554452692</v>
      </c>
    </row>
    <row r="158" spans="1:37" x14ac:dyDescent="0.25">
      <c r="AE158" s="55"/>
      <c r="AF158" s="177"/>
      <c r="AG158" s="55"/>
      <c r="AH158" s="55"/>
      <c r="AI158" s="55"/>
      <c r="AJ158" s="55"/>
      <c r="AK158" s="177"/>
    </row>
    <row r="159" spans="1:37" x14ac:dyDescent="0.25">
      <c r="A159" s="30" t="s">
        <v>244</v>
      </c>
      <c r="AE159" s="55"/>
      <c r="AF159" s="349"/>
      <c r="AG159" s="55"/>
      <c r="AH159" s="55"/>
      <c r="AI159" s="55"/>
      <c r="AJ159" s="55"/>
      <c r="AK159" s="177"/>
    </row>
    <row r="160" spans="1:37" x14ac:dyDescent="0.25">
      <c r="AE160" s="55"/>
      <c r="AF160" s="177"/>
      <c r="AG160" s="55"/>
      <c r="AH160" s="55"/>
      <c r="AI160" s="55"/>
      <c r="AJ160" s="55"/>
      <c r="AK160" s="177"/>
    </row>
    <row r="161" spans="1:38" x14ac:dyDescent="0.25">
      <c r="A161" s="289" t="s">
        <v>223</v>
      </c>
      <c r="C161" s="3"/>
      <c r="D161" s="3"/>
      <c r="E161" s="3"/>
      <c r="F161" s="3"/>
      <c r="G161" s="176"/>
      <c r="H161" s="3"/>
      <c r="I161" s="3"/>
      <c r="J161" s="3"/>
      <c r="K161" s="3"/>
      <c r="L161" s="176"/>
      <c r="M161" s="3"/>
      <c r="N161" s="3"/>
      <c r="O161" s="3"/>
      <c r="P161" s="3"/>
      <c r="Q161" s="176"/>
      <c r="R161" s="3"/>
      <c r="S161" s="3"/>
      <c r="T161" s="3"/>
      <c r="U161" s="3"/>
      <c r="V161" s="176"/>
      <c r="W161" s="3"/>
      <c r="X161" s="3"/>
      <c r="Y161" s="3"/>
      <c r="Z161" s="3"/>
      <c r="AA161" s="176"/>
      <c r="AB161" s="3"/>
      <c r="AC161" s="3"/>
      <c r="AD161" s="3"/>
      <c r="AE161" s="236"/>
      <c r="AF161" s="277"/>
      <c r="AG161" s="236"/>
      <c r="AH161" s="236"/>
      <c r="AI161" s="236"/>
      <c r="AJ161" s="236"/>
      <c r="AK161" s="277"/>
    </row>
    <row r="162" spans="1:38" x14ac:dyDescent="0.25">
      <c r="A162" s="274" t="s">
        <v>224</v>
      </c>
      <c r="C162" s="253">
        <v>1081</v>
      </c>
      <c r="D162" s="253">
        <v>2258</v>
      </c>
      <c r="E162" s="253">
        <v>3688</v>
      </c>
      <c r="F162" s="253">
        <v>3915</v>
      </c>
      <c r="G162" s="254"/>
      <c r="H162" s="253">
        <v>1492</v>
      </c>
      <c r="I162" s="253">
        <v>3061</v>
      </c>
      <c r="J162" s="253">
        <v>4960</v>
      </c>
      <c r="K162" s="253">
        <v>5859</v>
      </c>
      <c r="L162" s="254"/>
      <c r="M162" s="253">
        <v>1862</v>
      </c>
      <c r="N162" s="253">
        <v>3910</v>
      </c>
      <c r="O162" s="253">
        <v>6018</v>
      </c>
      <c r="P162" s="253">
        <v>8118</v>
      </c>
      <c r="Q162" s="254"/>
      <c r="R162" s="253">
        <v>1693</v>
      </c>
      <c r="S162" s="253">
        <v>3113</v>
      </c>
      <c r="T162" s="253">
        <v>4626</v>
      </c>
      <c r="U162" s="253">
        <v>6411</v>
      </c>
      <c r="V162" s="254"/>
      <c r="W162" s="253">
        <v>1828</v>
      </c>
      <c r="X162" s="253">
        <v>3894</v>
      </c>
      <c r="Y162" s="253">
        <v>6308</v>
      </c>
      <c r="Z162" s="253">
        <v>8687</v>
      </c>
      <c r="AA162" s="254"/>
      <c r="AB162" s="253">
        <v>2631</v>
      </c>
      <c r="AC162" s="253">
        <v>4906</v>
      </c>
      <c r="AD162" s="253">
        <v>7405</v>
      </c>
      <c r="AE162" s="253">
        <v>9930</v>
      </c>
      <c r="AF162" s="259"/>
      <c r="AG162" s="255"/>
      <c r="AH162" s="255"/>
      <c r="AI162" s="255"/>
      <c r="AJ162" s="255"/>
      <c r="AK162" s="259"/>
      <c r="AL162" s="253"/>
    </row>
    <row r="163" spans="1:38" x14ac:dyDescent="0.25">
      <c r="A163" s="274" t="s">
        <v>83</v>
      </c>
      <c r="C163" s="253">
        <v>92</v>
      </c>
      <c r="D163" s="253">
        <v>203</v>
      </c>
      <c r="E163" s="253">
        <v>321</v>
      </c>
      <c r="F163" s="253">
        <v>437</v>
      </c>
      <c r="G163" s="254"/>
      <c r="H163" s="253">
        <v>120</v>
      </c>
      <c r="I163" s="253">
        <v>235</v>
      </c>
      <c r="J163" s="253">
        <v>346</v>
      </c>
      <c r="K163" s="253">
        <v>459</v>
      </c>
      <c r="L163" s="254"/>
      <c r="M163" s="253">
        <v>117</v>
      </c>
      <c r="N163" s="253">
        <v>239</v>
      </c>
      <c r="O163" s="253">
        <v>376</v>
      </c>
      <c r="P163" s="253">
        <v>522</v>
      </c>
      <c r="Q163" s="254"/>
      <c r="R163" s="253">
        <v>144</v>
      </c>
      <c r="S163" s="253">
        <v>289</v>
      </c>
      <c r="T163" s="253">
        <v>430</v>
      </c>
      <c r="U163" s="253">
        <v>580</v>
      </c>
      <c r="V163" s="254"/>
      <c r="W163" s="253">
        <v>163</v>
      </c>
      <c r="X163" s="253">
        <v>349</v>
      </c>
      <c r="Y163" s="253">
        <v>537</v>
      </c>
      <c r="Z163" s="253">
        <v>726</v>
      </c>
      <c r="AA163" s="254">
        <v>-645</v>
      </c>
      <c r="AB163" s="253">
        <v>192</v>
      </c>
      <c r="AC163" s="253">
        <v>381</v>
      </c>
      <c r="AD163" s="253">
        <v>566</v>
      </c>
      <c r="AE163" s="253">
        <v>750</v>
      </c>
      <c r="AF163" s="259"/>
      <c r="AG163" s="255"/>
      <c r="AH163" s="255"/>
      <c r="AI163" s="255"/>
      <c r="AJ163" s="255"/>
      <c r="AK163" s="259"/>
      <c r="AL163" s="253"/>
    </row>
    <row r="164" spans="1:38" x14ac:dyDescent="0.25">
      <c r="A164" s="274" t="s">
        <v>225</v>
      </c>
      <c r="C164" s="253">
        <v>39</v>
      </c>
      <c r="D164" s="253">
        <v>88</v>
      </c>
      <c r="E164" s="253">
        <v>137</v>
      </c>
      <c r="F164" s="253">
        <v>176</v>
      </c>
      <c r="G164" s="254"/>
      <c r="H164" s="253">
        <v>43</v>
      </c>
      <c r="I164" s="253">
        <v>98</v>
      </c>
      <c r="J164" s="253">
        <v>153</v>
      </c>
      <c r="K164" s="253">
        <v>196</v>
      </c>
      <c r="L164" s="254"/>
      <c r="M164" s="253">
        <v>57</v>
      </c>
      <c r="N164" s="253">
        <v>130</v>
      </c>
      <c r="O164" s="253">
        <v>207</v>
      </c>
      <c r="P164" s="253">
        <v>250</v>
      </c>
      <c r="Q164" s="254"/>
      <c r="R164" s="253">
        <v>52</v>
      </c>
      <c r="S164" s="253">
        <v>127</v>
      </c>
      <c r="T164" s="253">
        <v>202</v>
      </c>
      <c r="U164" s="253">
        <v>254</v>
      </c>
      <c r="V164" s="254"/>
      <c r="W164" s="253">
        <v>65</v>
      </c>
      <c r="X164" s="253">
        <v>152</v>
      </c>
      <c r="Y164" s="253">
        <v>241</v>
      </c>
      <c r="Z164" s="253">
        <v>273</v>
      </c>
      <c r="AA164" s="254">
        <v>36</v>
      </c>
      <c r="AB164" s="253">
        <v>74</v>
      </c>
      <c r="AC164" s="253">
        <v>175</v>
      </c>
      <c r="AD164" s="253">
        <v>273</v>
      </c>
      <c r="AE164" s="253">
        <v>295</v>
      </c>
      <c r="AF164" s="259"/>
      <c r="AG164" s="255"/>
      <c r="AH164" s="255"/>
      <c r="AI164" s="255"/>
      <c r="AJ164" s="255"/>
      <c r="AK164" s="259"/>
      <c r="AL164" s="253"/>
    </row>
    <row r="165" spans="1:38" x14ac:dyDescent="0.25">
      <c r="A165" s="274" t="s">
        <v>168</v>
      </c>
      <c r="C165" s="253">
        <v>8</v>
      </c>
      <c r="D165" s="253">
        <v>-23</v>
      </c>
      <c r="E165" s="253">
        <v>-56</v>
      </c>
      <c r="F165" s="253">
        <v>86</v>
      </c>
      <c r="G165" s="254"/>
      <c r="H165" s="253">
        <v>-46</v>
      </c>
      <c r="I165" s="253">
        <v>-107</v>
      </c>
      <c r="J165" s="253">
        <v>-209</v>
      </c>
      <c r="K165" s="253">
        <v>-244</v>
      </c>
      <c r="L165" s="254"/>
      <c r="M165" s="253">
        <v>38</v>
      </c>
      <c r="N165" s="253">
        <v>65</v>
      </c>
      <c r="O165" s="253">
        <v>14</v>
      </c>
      <c r="P165" s="253">
        <v>24</v>
      </c>
      <c r="Q165" s="254"/>
      <c r="R165" s="253">
        <v>26</v>
      </c>
      <c r="S165" s="253">
        <v>-32</v>
      </c>
      <c r="T165" s="253">
        <v>7</v>
      </c>
      <c r="U165" s="253">
        <v>73</v>
      </c>
      <c r="V165" s="254"/>
      <c r="W165" s="253">
        <v>33</v>
      </c>
      <c r="X165" s="253">
        <v>-15</v>
      </c>
      <c r="Y165" s="253">
        <v>-49</v>
      </c>
      <c r="Z165" s="253">
        <v>-69</v>
      </c>
      <c r="AA165" s="254"/>
      <c r="AB165" s="253">
        <v>-320</v>
      </c>
      <c r="AC165" s="253">
        <v>-466</v>
      </c>
      <c r="AD165" s="253">
        <v>-589</v>
      </c>
      <c r="AE165" s="253">
        <v>-651</v>
      </c>
      <c r="AF165" s="259"/>
      <c r="AG165" s="255"/>
      <c r="AH165" s="255"/>
      <c r="AI165" s="255"/>
      <c r="AJ165" s="255"/>
      <c r="AK165" s="259"/>
      <c r="AL165" s="253"/>
    </row>
    <row r="166" spans="1:38" x14ac:dyDescent="0.25">
      <c r="A166" s="274" t="s">
        <v>149</v>
      </c>
      <c r="C166" s="253">
        <v>283</v>
      </c>
      <c r="D166" s="253">
        <v>545</v>
      </c>
      <c r="E166" s="253">
        <v>769</v>
      </c>
      <c r="F166" s="253">
        <v>1789</v>
      </c>
      <c r="G166" s="254"/>
      <c r="H166" s="253">
        <v>258</v>
      </c>
      <c r="I166" s="253">
        <v>721</v>
      </c>
      <c r="J166" s="253">
        <v>1047</v>
      </c>
      <c r="K166" s="253">
        <v>1990</v>
      </c>
      <c r="L166" s="254"/>
      <c r="M166" s="253">
        <v>317</v>
      </c>
      <c r="N166" s="253">
        <v>-173</v>
      </c>
      <c r="O166" s="253">
        <v>307</v>
      </c>
      <c r="P166" s="253">
        <v>395</v>
      </c>
      <c r="Q166" s="254"/>
      <c r="R166" s="253">
        <v>517</v>
      </c>
      <c r="S166" s="253">
        <v>713</v>
      </c>
      <c r="T166" s="253">
        <v>1036</v>
      </c>
      <c r="U166" s="253">
        <v>1270</v>
      </c>
      <c r="V166" s="254"/>
      <c r="W166" s="253">
        <v>255</v>
      </c>
      <c r="X166" s="253">
        <v>331</v>
      </c>
      <c r="Y166" s="253">
        <v>331</v>
      </c>
      <c r="Z166" s="253">
        <v>446</v>
      </c>
      <c r="AA166" s="254"/>
      <c r="AB166" s="253">
        <v>435</v>
      </c>
      <c r="AC166" s="253">
        <v>1023</v>
      </c>
      <c r="AD166" s="253">
        <v>1370</v>
      </c>
      <c r="AE166" s="253">
        <f>44+145+1586</f>
        <v>1775</v>
      </c>
      <c r="AF166" s="259"/>
      <c r="AG166" s="255"/>
      <c r="AH166" s="255"/>
      <c r="AI166" s="255"/>
      <c r="AJ166" s="255"/>
      <c r="AK166" s="259"/>
      <c r="AL166" s="253"/>
    </row>
    <row r="167" spans="1:38" x14ac:dyDescent="0.25">
      <c r="A167" s="287"/>
      <c r="C167" s="253"/>
      <c r="D167" s="253"/>
      <c r="E167" s="253"/>
      <c r="F167" s="253"/>
      <c r="G167" s="254"/>
      <c r="H167" s="253"/>
      <c r="I167" s="253"/>
      <c r="J167" s="253"/>
      <c r="K167" s="253"/>
      <c r="L167" s="254"/>
      <c r="M167" s="253"/>
      <c r="N167" s="253"/>
      <c r="O167" s="253"/>
      <c r="P167" s="253"/>
      <c r="Q167" s="254"/>
      <c r="R167" s="253"/>
      <c r="S167" s="253"/>
      <c r="T167" s="253"/>
      <c r="U167" s="253"/>
      <c r="V167" s="254"/>
      <c r="W167" s="253"/>
      <c r="X167" s="253"/>
      <c r="Y167" s="253"/>
      <c r="Z167" s="253"/>
      <c r="AA167" s="254"/>
      <c r="AB167" s="253"/>
      <c r="AC167" s="253"/>
      <c r="AD167" s="253"/>
      <c r="AE167" s="253"/>
      <c r="AF167" s="259"/>
      <c r="AG167" s="255"/>
      <c r="AH167" s="255"/>
      <c r="AI167" s="255"/>
      <c r="AJ167" s="255"/>
      <c r="AK167" s="259"/>
      <c r="AL167" s="253"/>
    </row>
    <row r="168" spans="1:38" x14ac:dyDescent="0.25">
      <c r="A168" s="274" t="s">
        <v>160</v>
      </c>
      <c r="C168" s="253">
        <v>-120</v>
      </c>
      <c r="D168" s="253">
        <v>-186</v>
      </c>
      <c r="E168" s="253">
        <v>-321</v>
      </c>
      <c r="F168" s="253">
        <v>-445</v>
      </c>
      <c r="G168" s="254"/>
      <c r="H168" s="253">
        <v>-80</v>
      </c>
      <c r="I168" s="253">
        <v>-195</v>
      </c>
      <c r="J168" s="253">
        <v>-317</v>
      </c>
      <c r="K168" s="253">
        <v>-317</v>
      </c>
      <c r="L168" s="254"/>
      <c r="M168" s="253">
        <v>-320</v>
      </c>
      <c r="N168" s="253">
        <v>-327</v>
      </c>
      <c r="O168" s="253">
        <v>-278</v>
      </c>
      <c r="P168" s="253">
        <v>-246</v>
      </c>
      <c r="Q168" s="254"/>
      <c r="R168" s="253">
        <v>-3</v>
      </c>
      <c r="S168" s="253">
        <v>299</v>
      </c>
      <c r="T168" s="253">
        <v>112</v>
      </c>
      <c r="U168" s="253">
        <v>-86</v>
      </c>
      <c r="V168" s="254"/>
      <c r="W168" s="253">
        <v>-70</v>
      </c>
      <c r="X168" s="253">
        <v>-158</v>
      </c>
      <c r="Y168" s="253">
        <v>-234</v>
      </c>
      <c r="Z168" s="253">
        <v>-397</v>
      </c>
      <c r="AA168" s="254"/>
      <c r="AB168" s="253">
        <v>134</v>
      </c>
      <c r="AC168" s="253">
        <v>-257</v>
      </c>
      <c r="AD168" s="253">
        <v>-326</v>
      </c>
      <c r="AE168" s="253">
        <v>-481</v>
      </c>
      <c r="AF168" s="259"/>
      <c r="AG168" s="255"/>
      <c r="AH168" s="255"/>
      <c r="AI168" s="255"/>
      <c r="AJ168" s="255"/>
      <c r="AK168" s="259"/>
      <c r="AL168" s="253"/>
    </row>
    <row r="169" spans="1:38" x14ac:dyDescent="0.25">
      <c r="A169" s="274" t="s">
        <v>226</v>
      </c>
      <c r="C169" s="253">
        <v>8</v>
      </c>
      <c r="D169" s="253">
        <v>-177</v>
      </c>
      <c r="E169" s="253">
        <v>-105</v>
      </c>
      <c r="F169" s="253">
        <v>-281</v>
      </c>
      <c r="G169" s="254"/>
      <c r="H169" s="253">
        <v>-156</v>
      </c>
      <c r="I169" s="253">
        <v>-158</v>
      </c>
      <c r="J169" s="253">
        <v>39</v>
      </c>
      <c r="K169" s="253">
        <v>-1078</v>
      </c>
      <c r="L169" s="254"/>
      <c r="M169" s="253">
        <v>1026</v>
      </c>
      <c r="N169" s="253">
        <v>903</v>
      </c>
      <c r="O169" s="253">
        <v>-171</v>
      </c>
      <c r="P169" s="253">
        <v>-444</v>
      </c>
      <c r="Q169" s="254"/>
      <c r="R169" s="253">
        <v>1831</v>
      </c>
      <c r="S169" s="253">
        <v>1213</v>
      </c>
      <c r="T169" s="253">
        <v>1618</v>
      </c>
      <c r="U169" s="253">
        <v>1288</v>
      </c>
      <c r="V169" s="254"/>
      <c r="W169" s="253">
        <v>28</v>
      </c>
      <c r="X169" s="253">
        <v>769</v>
      </c>
      <c r="Y169" s="253">
        <v>845</v>
      </c>
      <c r="Z169" s="253">
        <v>390</v>
      </c>
      <c r="AA169" s="254"/>
      <c r="AB169" s="253">
        <v>218</v>
      </c>
      <c r="AC169" s="253">
        <v>255</v>
      </c>
      <c r="AD169" s="253">
        <v>298</v>
      </c>
      <c r="AE169" s="253">
        <v>48</v>
      </c>
      <c r="AF169" s="259"/>
      <c r="AG169" s="255"/>
      <c r="AH169" s="255"/>
      <c r="AI169" s="255"/>
      <c r="AJ169" s="255"/>
      <c r="AK169" s="259"/>
      <c r="AL169" s="253"/>
    </row>
    <row r="170" spans="1:38" x14ac:dyDescent="0.25">
      <c r="A170" s="274" t="s">
        <v>227</v>
      </c>
      <c r="C170" s="253">
        <v>-660</v>
      </c>
      <c r="D170" s="253">
        <v>-980</v>
      </c>
      <c r="E170" s="253">
        <v>-1286</v>
      </c>
      <c r="F170" s="253">
        <v>-1402</v>
      </c>
      <c r="G170" s="254"/>
      <c r="H170" s="253">
        <v>-375</v>
      </c>
      <c r="I170" s="253">
        <v>-843</v>
      </c>
      <c r="J170" s="253">
        <v>-1174</v>
      </c>
      <c r="K170" s="253">
        <v>-1769</v>
      </c>
      <c r="L170" s="254"/>
      <c r="M170" s="253">
        <v>-497</v>
      </c>
      <c r="N170" s="253">
        <v>-1015</v>
      </c>
      <c r="O170" s="253">
        <v>-1440</v>
      </c>
      <c r="P170" s="253">
        <v>-1661</v>
      </c>
      <c r="Q170" s="254"/>
      <c r="R170" s="253">
        <v>-331</v>
      </c>
      <c r="S170" s="253">
        <v>-679</v>
      </c>
      <c r="T170" s="253">
        <v>-1291</v>
      </c>
      <c r="U170" s="253">
        <v>-1552</v>
      </c>
      <c r="V170" s="254"/>
      <c r="W170" s="253">
        <v>-562</v>
      </c>
      <c r="X170" s="253">
        <v>-995</v>
      </c>
      <c r="Y170" s="253">
        <v>-172</v>
      </c>
      <c r="Z170" s="253">
        <v>-2087</v>
      </c>
      <c r="AA170" s="254"/>
      <c r="AB170" s="253">
        <v>-441</v>
      </c>
      <c r="AC170" s="253">
        <v>-1033</v>
      </c>
      <c r="AD170" s="253">
        <v>-1472</v>
      </c>
      <c r="AE170" s="253">
        <v>-2175</v>
      </c>
      <c r="AF170" s="259"/>
      <c r="AG170" s="255"/>
      <c r="AH170" s="255"/>
      <c r="AI170" s="255"/>
      <c r="AJ170" s="255"/>
      <c r="AK170" s="259"/>
      <c r="AL170" s="253"/>
    </row>
    <row r="171" spans="1:38" x14ac:dyDescent="0.25">
      <c r="A171" s="274" t="s">
        <v>173</v>
      </c>
      <c r="C171" s="253">
        <v>57</v>
      </c>
      <c r="D171" s="253">
        <v>24</v>
      </c>
      <c r="E171" s="253">
        <v>85</v>
      </c>
      <c r="F171" s="253">
        <v>290</v>
      </c>
      <c r="G171" s="254"/>
      <c r="H171" s="253">
        <v>-62</v>
      </c>
      <c r="I171" s="253">
        <v>-86</v>
      </c>
      <c r="J171" s="253">
        <v>-44</v>
      </c>
      <c r="K171" s="253">
        <v>101</v>
      </c>
      <c r="L171" s="254"/>
      <c r="M171" s="253">
        <v>-22</v>
      </c>
      <c r="N171" s="253">
        <v>-105</v>
      </c>
      <c r="O171" s="253">
        <v>-36</v>
      </c>
      <c r="P171" s="253">
        <v>-42</v>
      </c>
      <c r="Q171" s="254"/>
      <c r="R171" s="253">
        <v>-102</v>
      </c>
      <c r="S171" s="253">
        <v>-82</v>
      </c>
      <c r="T171" s="253">
        <v>-145</v>
      </c>
      <c r="U171" s="253">
        <v>26</v>
      </c>
      <c r="V171" s="254"/>
      <c r="W171" s="253">
        <v>-15</v>
      </c>
      <c r="X171" s="253">
        <v>-92</v>
      </c>
      <c r="Y171" s="253">
        <v>-74</v>
      </c>
      <c r="Z171" s="253">
        <v>100</v>
      </c>
      <c r="AA171" s="254"/>
      <c r="AB171" s="253">
        <v>-56</v>
      </c>
      <c r="AC171" s="253">
        <v>-110</v>
      </c>
      <c r="AD171" s="253">
        <v>-91</v>
      </c>
      <c r="AE171" s="253">
        <v>190</v>
      </c>
      <c r="AF171" s="259"/>
      <c r="AG171" s="255"/>
      <c r="AH171" s="255"/>
      <c r="AI171" s="255"/>
      <c r="AJ171" s="255"/>
      <c r="AK171" s="259"/>
      <c r="AL171" s="253"/>
    </row>
    <row r="172" spans="1:38" x14ac:dyDescent="0.25">
      <c r="A172" s="274" t="s">
        <v>228</v>
      </c>
      <c r="C172" s="253">
        <v>-124</v>
      </c>
      <c r="D172" s="253">
        <v>159</v>
      </c>
      <c r="E172" s="253">
        <v>54</v>
      </c>
      <c r="F172" s="253">
        <v>394</v>
      </c>
      <c r="G172" s="254"/>
      <c r="H172" s="253">
        <v>-63</v>
      </c>
      <c r="I172" s="253">
        <v>-109</v>
      </c>
      <c r="J172" s="253">
        <v>-186</v>
      </c>
      <c r="K172" s="253">
        <v>848</v>
      </c>
      <c r="L172" s="254"/>
      <c r="M172" s="253">
        <v>-1000</v>
      </c>
      <c r="N172" s="253">
        <v>-858</v>
      </c>
      <c r="O172" s="253">
        <v>-77</v>
      </c>
      <c r="P172" s="253">
        <v>477</v>
      </c>
      <c r="Q172" s="254"/>
      <c r="R172" s="253">
        <v>-1564</v>
      </c>
      <c r="S172" s="253">
        <v>-1187</v>
      </c>
      <c r="T172" s="253">
        <v>-1587</v>
      </c>
      <c r="U172" s="253">
        <v>-1242</v>
      </c>
      <c r="V172" s="254"/>
      <c r="W172" s="253">
        <v>-178</v>
      </c>
      <c r="X172" s="253">
        <v>-906</v>
      </c>
      <c r="Y172" s="253">
        <v>-978</v>
      </c>
      <c r="Z172" s="253">
        <v>-568</v>
      </c>
      <c r="AA172" s="254"/>
      <c r="AB172" s="253">
        <v>-366</v>
      </c>
      <c r="AC172" s="253">
        <v>-239</v>
      </c>
      <c r="AD172" s="253">
        <v>146</v>
      </c>
      <c r="AE172" s="253">
        <v>201</v>
      </c>
      <c r="AF172" s="259"/>
      <c r="AG172" s="255"/>
      <c r="AH172" s="255"/>
      <c r="AI172" s="255"/>
      <c r="AJ172" s="255"/>
      <c r="AK172" s="259"/>
      <c r="AL172" s="253"/>
    </row>
    <row r="173" spans="1:38" x14ac:dyDescent="0.25">
      <c r="A173" s="274" t="s">
        <v>175</v>
      </c>
      <c r="C173" s="253">
        <v>10</v>
      </c>
      <c r="D173" s="253">
        <v>-4</v>
      </c>
      <c r="E173" s="253">
        <v>380</v>
      </c>
      <c r="F173" s="253">
        <v>589</v>
      </c>
      <c r="G173" s="254"/>
      <c r="H173" s="253">
        <v>-140</v>
      </c>
      <c r="I173" s="253">
        <v>81</v>
      </c>
      <c r="J173" s="253">
        <v>461</v>
      </c>
      <c r="K173" s="253">
        <v>439</v>
      </c>
      <c r="L173" s="254"/>
      <c r="M173" s="253">
        <v>-483</v>
      </c>
      <c r="N173" s="253">
        <v>-13</v>
      </c>
      <c r="O173" s="253">
        <v>266</v>
      </c>
      <c r="P173" s="253">
        <v>657</v>
      </c>
      <c r="Q173" s="254"/>
      <c r="R173" s="253">
        <v>-622</v>
      </c>
      <c r="S173" s="253">
        <v>-855</v>
      </c>
      <c r="T173" s="253">
        <v>-399</v>
      </c>
      <c r="U173" s="253">
        <v>-114</v>
      </c>
      <c r="V173" s="254"/>
      <c r="W173" s="253">
        <v>-163</v>
      </c>
      <c r="X173" s="253">
        <v>27</v>
      </c>
      <c r="Y173" s="253">
        <v>692</v>
      </c>
      <c r="Z173" s="253">
        <v>1355</v>
      </c>
      <c r="AA173" s="254"/>
      <c r="AB173" s="253">
        <v>-746</v>
      </c>
      <c r="AC173" s="253">
        <v>-282</v>
      </c>
      <c r="AD173" s="253">
        <v>638</v>
      </c>
      <c r="AE173" s="253">
        <v>1188</v>
      </c>
      <c r="AF173" s="259"/>
      <c r="AG173" s="255"/>
      <c r="AH173" s="255"/>
      <c r="AI173" s="255"/>
      <c r="AJ173" s="255"/>
      <c r="AK173" s="259"/>
      <c r="AL173" s="253"/>
    </row>
    <row r="174" spans="1:38" x14ac:dyDescent="0.25">
      <c r="A174" s="274" t="s">
        <v>229</v>
      </c>
      <c r="C174" s="253">
        <v>71</v>
      </c>
      <c r="D174" s="253">
        <v>132</v>
      </c>
      <c r="E174" s="253">
        <v>128</v>
      </c>
      <c r="F174" s="253">
        <v>7</v>
      </c>
      <c r="G174" s="254"/>
      <c r="H174" s="253">
        <v>44</v>
      </c>
      <c r="I174" s="253">
        <v>-174</v>
      </c>
      <c r="J174" s="253">
        <v>-185</v>
      </c>
      <c r="K174" s="253">
        <v>-261</v>
      </c>
      <c r="L174" s="254"/>
      <c r="M174" s="253">
        <v>217</v>
      </c>
      <c r="N174" s="253">
        <v>92</v>
      </c>
      <c r="O174" s="253">
        <v>17</v>
      </c>
      <c r="P174" s="253">
        <v>133</v>
      </c>
      <c r="Q174" s="254"/>
      <c r="R174" s="253">
        <v>218</v>
      </c>
      <c r="S174" s="253">
        <v>398</v>
      </c>
      <c r="T174" s="253">
        <v>362</v>
      </c>
      <c r="U174" s="253">
        <v>316</v>
      </c>
      <c r="V174" s="254"/>
      <c r="W174" s="253">
        <v>79</v>
      </c>
      <c r="X174" s="253">
        <v>375</v>
      </c>
      <c r="Y174" s="253">
        <v>-1173</v>
      </c>
      <c r="Z174" s="253">
        <v>607</v>
      </c>
      <c r="AA174" s="254"/>
      <c r="AB174" s="253">
        <v>27</v>
      </c>
      <c r="AC174" s="253">
        <v>-114</v>
      </c>
      <c r="AD174" s="253">
        <v>-123</v>
      </c>
      <c r="AE174" s="253">
        <f>AE175-SUM(AE162:AE173)</f>
        <v>125</v>
      </c>
      <c r="AF174" s="259"/>
      <c r="AG174" s="255"/>
      <c r="AH174" s="255"/>
      <c r="AI174" s="255"/>
      <c r="AJ174" s="255"/>
      <c r="AK174" s="259"/>
      <c r="AL174" s="253"/>
    </row>
    <row r="175" spans="1:38" x14ac:dyDescent="0.25">
      <c r="A175" s="286" t="s">
        <v>245</v>
      </c>
      <c r="C175" s="253">
        <v>745</v>
      </c>
      <c r="D175" s="253">
        <v>2039</v>
      </c>
      <c r="E175" s="253">
        <v>3794</v>
      </c>
      <c r="F175" s="253">
        <v>5555</v>
      </c>
      <c r="G175" s="254"/>
      <c r="H175" s="253">
        <v>1035</v>
      </c>
      <c r="I175" s="253">
        <v>2524</v>
      </c>
      <c r="J175" s="253">
        <v>4891</v>
      </c>
      <c r="K175" s="253">
        <v>6223</v>
      </c>
      <c r="L175" s="254"/>
      <c r="M175" s="253">
        <v>1312</v>
      </c>
      <c r="N175" s="253">
        <v>2848</v>
      </c>
      <c r="O175" s="253">
        <v>5203</v>
      </c>
      <c r="P175" s="253">
        <v>8183</v>
      </c>
      <c r="Q175" s="254"/>
      <c r="R175" s="253">
        <v>1859</v>
      </c>
      <c r="S175" s="253">
        <v>3317</v>
      </c>
      <c r="T175" s="253">
        <v>4971</v>
      </c>
      <c r="U175" s="253">
        <v>7224</v>
      </c>
      <c r="V175" s="254"/>
      <c r="W175" s="253">
        <v>1463</v>
      </c>
      <c r="X175" s="253">
        <v>3731</v>
      </c>
      <c r="Y175" s="253">
        <v>6274</v>
      </c>
      <c r="Z175" s="253">
        <v>9463</v>
      </c>
      <c r="AA175" s="254"/>
      <c r="AB175" s="253">
        <v>1782</v>
      </c>
      <c r="AC175" s="253">
        <v>4239</v>
      </c>
      <c r="AD175" s="253">
        <v>8095</v>
      </c>
      <c r="AE175" s="253">
        <v>11195</v>
      </c>
      <c r="AF175" s="259"/>
      <c r="AG175" s="255"/>
      <c r="AH175" s="255"/>
      <c r="AI175" s="255"/>
      <c r="AJ175" s="255"/>
      <c r="AK175" s="259"/>
      <c r="AL175" s="253"/>
    </row>
    <row r="176" spans="1:38" x14ac:dyDescent="0.25">
      <c r="A176" s="287"/>
      <c r="C176" s="253"/>
      <c r="D176" s="253"/>
      <c r="E176" s="253"/>
      <c r="F176" s="253"/>
      <c r="G176" s="254"/>
      <c r="H176" s="253"/>
      <c r="I176" s="253"/>
      <c r="J176" s="253"/>
      <c r="K176" s="253"/>
      <c r="L176" s="254"/>
      <c r="M176" s="253"/>
      <c r="N176" s="253"/>
      <c r="O176" s="253"/>
      <c r="P176" s="253"/>
      <c r="Q176" s="254"/>
      <c r="R176" s="253"/>
      <c r="S176" s="253"/>
      <c r="T176" s="253"/>
      <c r="U176" s="253"/>
      <c r="V176" s="254"/>
      <c r="W176" s="253"/>
      <c r="X176" s="253"/>
      <c r="Y176" s="253"/>
      <c r="Z176" s="253"/>
      <c r="AA176" s="254"/>
      <c r="AB176" s="253"/>
      <c r="AC176" s="253"/>
      <c r="AD176" s="253"/>
      <c r="AE176" s="253"/>
      <c r="AF176" s="259"/>
      <c r="AG176" s="255"/>
      <c r="AH176" s="255"/>
      <c r="AI176" s="255"/>
      <c r="AJ176" s="255"/>
      <c r="AK176" s="259"/>
      <c r="AL176" s="253"/>
    </row>
    <row r="177" spans="1:38" x14ac:dyDescent="0.25">
      <c r="A177" s="289" t="s">
        <v>230</v>
      </c>
      <c r="C177" s="260"/>
      <c r="D177" s="260"/>
      <c r="E177" s="260"/>
      <c r="F177" s="260"/>
      <c r="G177" s="261"/>
      <c r="H177" s="260"/>
      <c r="I177" s="260"/>
      <c r="J177" s="260"/>
      <c r="K177" s="260"/>
      <c r="L177" s="261"/>
      <c r="M177" s="260"/>
      <c r="N177" s="260"/>
      <c r="O177" s="260"/>
      <c r="P177" s="260"/>
      <c r="Q177" s="261"/>
      <c r="R177" s="260"/>
      <c r="S177" s="260"/>
      <c r="T177" s="260"/>
      <c r="U177" s="260"/>
      <c r="V177" s="261"/>
      <c r="W177" s="260"/>
      <c r="X177" s="260"/>
      <c r="Y177" s="260"/>
      <c r="Z177" s="260"/>
      <c r="AA177" s="261"/>
      <c r="AB177" s="260"/>
      <c r="AC177" s="260"/>
      <c r="AD177" s="260"/>
      <c r="AE177" s="260"/>
      <c r="AF177" s="282"/>
      <c r="AG177" s="236"/>
      <c r="AH177" s="236"/>
      <c r="AI177" s="236"/>
      <c r="AJ177" s="236"/>
      <c r="AK177" s="277"/>
      <c r="AL177" s="253"/>
    </row>
    <row r="178" spans="1:38" x14ac:dyDescent="0.25">
      <c r="A178" s="274" t="s">
        <v>231</v>
      </c>
      <c r="C178" s="253">
        <v>-64</v>
      </c>
      <c r="D178" s="253">
        <v>-114</v>
      </c>
      <c r="E178" s="253">
        <v>-214</v>
      </c>
      <c r="F178" s="253">
        <v>-300</v>
      </c>
      <c r="G178" s="254"/>
      <c r="H178" s="253">
        <v>-82</v>
      </c>
      <c r="I178" s="253">
        <v>-172</v>
      </c>
      <c r="J178" s="253">
        <v>-255</v>
      </c>
      <c r="K178" s="253">
        <v>-330</v>
      </c>
      <c r="L178" s="254"/>
      <c r="M178" s="253">
        <v>-83</v>
      </c>
      <c r="N178" s="253">
        <v>-174</v>
      </c>
      <c r="O178" s="253">
        <v>-306</v>
      </c>
      <c r="P178" s="253">
        <v>-422</v>
      </c>
      <c r="Q178" s="254"/>
      <c r="R178" s="253">
        <v>-131</v>
      </c>
      <c r="S178" s="253">
        <v>-201</v>
      </c>
      <c r="T178" s="253">
        <v>-280</v>
      </c>
      <c r="U178" s="253">
        <v>-339</v>
      </c>
      <c r="V178" s="254"/>
      <c r="W178" s="253">
        <v>-65</v>
      </c>
      <c r="X178" s="253">
        <v>-261</v>
      </c>
      <c r="Y178" s="253">
        <v>-326</v>
      </c>
      <c r="Z178" s="253">
        <v>-389</v>
      </c>
      <c r="AA178" s="254"/>
      <c r="AB178" s="253">
        <v>-146</v>
      </c>
      <c r="AC178" s="253">
        <v>-124</v>
      </c>
      <c r="AD178" s="253">
        <v>-312</v>
      </c>
      <c r="AE178" s="253">
        <v>-267</v>
      </c>
      <c r="AF178" s="259"/>
      <c r="AG178" s="255"/>
      <c r="AH178" s="255"/>
      <c r="AI178" s="255"/>
      <c r="AJ178" s="255"/>
      <c r="AK178" s="259"/>
      <c r="AL178" s="253"/>
    </row>
    <row r="179" spans="1:38" x14ac:dyDescent="0.25">
      <c r="A179" s="274" t="s">
        <v>232</v>
      </c>
      <c r="C179" s="253">
        <v>-30</v>
      </c>
      <c r="D179" s="253">
        <v>-54</v>
      </c>
      <c r="E179" s="253">
        <v>-87</v>
      </c>
      <c r="F179" s="253">
        <v>-123</v>
      </c>
      <c r="G179" s="254"/>
      <c r="H179" s="253">
        <v>-44</v>
      </c>
      <c r="I179" s="253">
        <v>-79</v>
      </c>
      <c r="J179" s="253">
        <v>-126</v>
      </c>
      <c r="K179" s="253">
        <v>-174</v>
      </c>
      <c r="L179" s="254"/>
      <c r="M179" s="253">
        <v>-59</v>
      </c>
      <c r="N179" s="253">
        <v>-150</v>
      </c>
      <c r="O179" s="253">
        <v>-237</v>
      </c>
      <c r="P179" s="253">
        <v>-306</v>
      </c>
      <c r="Q179" s="254"/>
      <c r="R179" s="253">
        <v>-78</v>
      </c>
      <c r="S179" s="253">
        <v>-191</v>
      </c>
      <c r="T179" s="253">
        <v>-277</v>
      </c>
      <c r="U179" s="253">
        <v>-369</v>
      </c>
      <c r="V179" s="254"/>
      <c r="W179" s="253">
        <v>-79</v>
      </c>
      <c r="X179" s="253">
        <v>-191</v>
      </c>
      <c r="Y179" s="253">
        <v>-301</v>
      </c>
      <c r="Z179" s="253">
        <v>-407</v>
      </c>
      <c r="AA179" s="254"/>
      <c r="AB179" s="253">
        <v>-148</v>
      </c>
      <c r="AC179" s="253">
        <v>-280</v>
      </c>
      <c r="AD179" s="253">
        <v>-446</v>
      </c>
      <c r="AE179" s="253">
        <v>-655</v>
      </c>
      <c r="AF179" s="259"/>
      <c r="AG179" s="255"/>
      <c r="AH179" s="255"/>
      <c r="AI179" s="255"/>
      <c r="AJ179" s="255"/>
      <c r="AK179" s="259"/>
      <c r="AL179" s="253"/>
    </row>
    <row r="180" spans="1:38" x14ac:dyDescent="0.25">
      <c r="A180" s="274" t="s">
        <v>233</v>
      </c>
      <c r="C180" s="253">
        <f>-205-307</f>
        <v>-512</v>
      </c>
      <c r="D180" s="253">
        <f>-322-514</f>
        <v>-836</v>
      </c>
      <c r="E180" s="253">
        <f>-531-925</f>
        <v>-1456</v>
      </c>
      <c r="F180" s="253">
        <f>-714-1145</f>
        <v>-1859</v>
      </c>
      <c r="G180" s="254"/>
      <c r="H180" s="253">
        <f>-108-123</f>
        <v>-231</v>
      </c>
      <c r="I180" s="253">
        <f>-705-242</f>
        <v>-947</v>
      </c>
      <c r="J180" s="253">
        <f>-953-400</f>
        <v>-1353</v>
      </c>
      <c r="K180" s="253">
        <f>-1300-509</f>
        <v>-1809</v>
      </c>
      <c r="L180" s="254"/>
      <c r="M180" s="253">
        <f>-305-99</f>
        <v>-404</v>
      </c>
      <c r="N180" s="253">
        <f>-386-124</f>
        <v>-510</v>
      </c>
      <c r="O180" s="253">
        <f>-549-167</f>
        <v>-716</v>
      </c>
      <c r="P180" s="253">
        <f>-643-215</f>
        <v>-858</v>
      </c>
      <c r="Q180" s="254"/>
      <c r="R180" s="253">
        <f>-74-45</f>
        <v>-119</v>
      </c>
      <c r="S180" s="253">
        <f>-78-82</f>
        <v>-160</v>
      </c>
      <c r="T180" s="253">
        <f>-161-126</f>
        <v>-287</v>
      </c>
      <c r="U180" s="253">
        <f>-220-198</f>
        <v>-418</v>
      </c>
      <c r="V180" s="254"/>
      <c r="W180" s="253"/>
      <c r="X180" s="253"/>
      <c r="Y180" s="253"/>
      <c r="Z180" s="253"/>
      <c r="AA180" s="254"/>
      <c r="AB180" s="382"/>
      <c r="AC180" s="383"/>
      <c r="AD180" s="382"/>
      <c r="AE180" s="253"/>
      <c r="AF180" s="259"/>
      <c r="AG180" s="255"/>
      <c r="AH180" s="255"/>
      <c r="AI180" s="255"/>
      <c r="AJ180" s="255"/>
      <c r="AK180" s="259"/>
      <c r="AL180" s="253"/>
    </row>
    <row r="181" spans="1:38" x14ac:dyDescent="0.25">
      <c r="A181" s="274" t="s">
        <v>390</v>
      </c>
      <c r="C181" s="253">
        <f>89+151</f>
        <v>240</v>
      </c>
      <c r="D181" s="253">
        <f>105+248+461</f>
        <v>814</v>
      </c>
      <c r="E181" s="253">
        <f>153+371+872</f>
        <v>1396</v>
      </c>
      <c r="F181" s="253">
        <f>304+500+1020</f>
        <v>1824</v>
      </c>
      <c r="G181" s="254"/>
      <c r="H181" s="253">
        <f>198+108+430</f>
        <v>736</v>
      </c>
      <c r="I181" s="253">
        <f>412+171+646</f>
        <v>1229</v>
      </c>
      <c r="J181" s="253">
        <f>491+291+762</f>
        <v>1544</v>
      </c>
      <c r="K181" s="253">
        <f>604+379</f>
        <v>983</v>
      </c>
      <c r="L181" s="254"/>
      <c r="M181" s="253">
        <f>476+139+155</f>
        <v>770</v>
      </c>
      <c r="N181" s="253">
        <f>935+219+237</f>
        <v>1391</v>
      </c>
      <c r="O181" s="253">
        <f>1003+305+334</f>
        <v>1642</v>
      </c>
      <c r="P181" s="253">
        <f>1098+376+383</f>
        <v>1857</v>
      </c>
      <c r="Q181" s="254"/>
      <c r="R181" s="253">
        <f>179+64+65</f>
        <v>308</v>
      </c>
      <c r="S181" s="253">
        <f>256+100</f>
        <v>356</v>
      </c>
      <c r="T181" s="253">
        <f>349+127+84</f>
        <v>560</v>
      </c>
      <c r="U181" s="253">
        <f>361+140+121</f>
        <v>622</v>
      </c>
      <c r="V181" s="254"/>
      <c r="W181" s="253"/>
      <c r="X181" s="253"/>
      <c r="Y181" s="253"/>
      <c r="Z181" s="253"/>
      <c r="AA181" s="254"/>
      <c r="AB181" s="382"/>
      <c r="AC181" s="383"/>
      <c r="AD181" s="382"/>
      <c r="AE181" s="253"/>
      <c r="AF181" s="259"/>
      <c r="AG181" s="255"/>
      <c r="AH181" s="255"/>
      <c r="AI181" s="255"/>
      <c r="AJ181" s="255"/>
      <c r="AK181" s="259"/>
      <c r="AL181" s="253"/>
    </row>
    <row r="182" spans="1:38" x14ac:dyDescent="0.25">
      <c r="A182" s="274" t="s">
        <v>234</v>
      </c>
      <c r="C182" s="253"/>
      <c r="D182" s="253">
        <v>-951</v>
      </c>
      <c r="E182" s="253">
        <v>-1175</v>
      </c>
      <c r="F182" s="253">
        <v>-1175</v>
      </c>
      <c r="G182" s="254"/>
      <c r="H182" s="253">
        <v>0</v>
      </c>
      <c r="I182" s="253">
        <v>0</v>
      </c>
      <c r="J182" s="253">
        <v>0</v>
      </c>
      <c r="K182" s="253">
        <v>0</v>
      </c>
      <c r="L182" s="254"/>
      <c r="M182" s="253">
        <v>0</v>
      </c>
      <c r="N182" s="253">
        <v>-723</v>
      </c>
      <c r="O182" s="253">
        <v>-1170</v>
      </c>
      <c r="P182" s="253">
        <v>-1440</v>
      </c>
      <c r="Q182" s="254"/>
      <c r="R182" s="253">
        <v>0</v>
      </c>
      <c r="S182" s="253"/>
      <c r="T182" s="253"/>
      <c r="U182" s="253"/>
      <c r="V182" s="254"/>
      <c r="W182" s="253">
        <v>-3364</v>
      </c>
      <c r="X182" s="253">
        <v>-4200</v>
      </c>
      <c r="Y182" s="253">
        <v>-4200</v>
      </c>
      <c r="Z182" s="253">
        <v>-4436</v>
      </c>
      <c r="AA182" s="254"/>
      <c r="AB182" s="253">
        <v>0</v>
      </c>
      <c r="AC182" s="253">
        <v>-313</v>
      </c>
      <c r="AD182" s="253">
        <v>-313</v>
      </c>
      <c r="AE182" s="253">
        <v>-313</v>
      </c>
      <c r="AF182" s="259"/>
      <c r="AG182" s="255"/>
      <c r="AH182" s="255"/>
      <c r="AI182" s="255"/>
      <c r="AJ182" s="255"/>
      <c r="AK182" s="259"/>
      <c r="AL182" s="253"/>
    </row>
    <row r="183" spans="1:38" x14ac:dyDescent="0.25">
      <c r="A183" s="274" t="s">
        <v>235</v>
      </c>
      <c r="C183" s="253">
        <v>120</v>
      </c>
      <c r="D183" s="253">
        <v>-113</v>
      </c>
      <c r="E183" s="253">
        <v>-120</v>
      </c>
      <c r="F183" s="253">
        <v>-146</v>
      </c>
      <c r="G183" s="254"/>
      <c r="H183" s="253">
        <v>-12</v>
      </c>
      <c r="I183" s="253">
        <v>-37</v>
      </c>
      <c r="J183" s="253">
        <v>-47</v>
      </c>
      <c r="K183" s="253">
        <v>824</v>
      </c>
      <c r="L183" s="254"/>
      <c r="M183" s="253">
        <v>-11</v>
      </c>
      <c r="N183" s="253">
        <v>-388</v>
      </c>
      <c r="O183" s="253">
        <v>-393</v>
      </c>
      <c r="P183" s="253">
        <v>-471</v>
      </c>
      <c r="Q183" s="254"/>
      <c r="R183" s="253">
        <v>-487</v>
      </c>
      <c r="S183" s="253">
        <v>-430</v>
      </c>
      <c r="T183" s="253">
        <v>-541</v>
      </c>
      <c r="U183" s="253">
        <v>-1375</v>
      </c>
      <c r="V183" s="254"/>
      <c r="W183" s="253">
        <v>-52</v>
      </c>
      <c r="X183" s="253">
        <v>-50</v>
      </c>
      <c r="Y183" s="253">
        <v>-7</v>
      </c>
      <c r="Z183" s="253">
        <v>-40</v>
      </c>
      <c r="AA183" s="254"/>
      <c r="AB183" s="253">
        <v>7</v>
      </c>
      <c r="AC183" s="253">
        <v>-95</v>
      </c>
      <c r="AD183" s="253">
        <v>-49</v>
      </c>
      <c r="AE183" s="253">
        <f>AE185-AE178-AE179-AE180-AE181-AE182</f>
        <v>-235</v>
      </c>
      <c r="AF183" s="259"/>
      <c r="AG183" s="255"/>
      <c r="AH183" s="255"/>
      <c r="AI183" s="255"/>
      <c r="AJ183" s="255"/>
      <c r="AK183" s="259"/>
      <c r="AL183" s="253"/>
    </row>
    <row r="184" spans="1:38" x14ac:dyDescent="0.25">
      <c r="A184" s="274" t="s">
        <v>149</v>
      </c>
      <c r="C184" s="253"/>
      <c r="D184" s="253"/>
      <c r="E184" s="253"/>
      <c r="F184" s="253"/>
      <c r="G184" s="254"/>
      <c r="H184" s="253"/>
      <c r="I184" s="253"/>
      <c r="J184" s="253"/>
      <c r="K184" s="253"/>
      <c r="L184" s="254"/>
      <c r="M184" s="253"/>
      <c r="N184" s="253"/>
      <c r="O184" s="253"/>
      <c r="P184" s="253"/>
      <c r="Q184" s="254"/>
      <c r="R184" s="253"/>
      <c r="S184" s="253"/>
      <c r="T184" s="253"/>
      <c r="U184" s="253"/>
      <c r="V184" s="254"/>
      <c r="W184" s="253"/>
      <c r="X184" s="253"/>
      <c r="Y184" s="253"/>
      <c r="Z184" s="253"/>
      <c r="AA184" s="254"/>
      <c r="AB184" s="253"/>
      <c r="AC184" s="253"/>
      <c r="AD184" s="253"/>
      <c r="AE184" s="253"/>
      <c r="AF184" s="259"/>
      <c r="AG184" s="255"/>
      <c r="AH184" s="255"/>
      <c r="AI184" s="255"/>
      <c r="AJ184" s="255"/>
      <c r="AK184" s="259"/>
      <c r="AL184" s="253"/>
    </row>
    <row r="185" spans="1:38" x14ac:dyDescent="0.25">
      <c r="A185" s="286" t="s">
        <v>245</v>
      </c>
      <c r="C185" s="253">
        <v>-246</v>
      </c>
      <c r="D185" s="253">
        <v>-1254</v>
      </c>
      <c r="E185" s="253">
        <v>-1656</v>
      </c>
      <c r="F185" s="253">
        <v>-1779</v>
      </c>
      <c r="G185" s="254"/>
      <c r="H185" s="253">
        <v>367</v>
      </c>
      <c r="I185" s="253">
        <v>-6</v>
      </c>
      <c r="J185" s="253">
        <v>-237</v>
      </c>
      <c r="K185" s="253">
        <v>-506</v>
      </c>
      <c r="L185" s="254"/>
      <c r="M185" s="253">
        <v>213</v>
      </c>
      <c r="N185" s="253">
        <v>-554</v>
      </c>
      <c r="O185" s="253">
        <v>-1180</v>
      </c>
      <c r="P185" s="253">
        <v>-1640</v>
      </c>
      <c r="Q185" s="254"/>
      <c r="R185" s="253">
        <v>-507</v>
      </c>
      <c r="S185" s="253">
        <v>-626</v>
      </c>
      <c r="T185" s="253">
        <v>-825</v>
      </c>
      <c r="U185" s="253">
        <v>-1879</v>
      </c>
      <c r="V185" s="254"/>
      <c r="W185" s="253">
        <v>-3560</v>
      </c>
      <c r="X185" s="253">
        <v>-4702</v>
      </c>
      <c r="Y185" s="253">
        <v>-4834</v>
      </c>
      <c r="Z185" s="253">
        <v>-5272</v>
      </c>
      <c r="AA185" s="254"/>
      <c r="AB185" s="253">
        <v>-287</v>
      </c>
      <c r="AC185" s="253">
        <v>-812</v>
      </c>
      <c r="AD185" s="253">
        <v>-1120</v>
      </c>
      <c r="AE185" s="253">
        <f>-1470</f>
        <v>-1470</v>
      </c>
      <c r="AF185" s="259"/>
      <c r="AG185" s="255"/>
      <c r="AH185" s="255"/>
      <c r="AI185" s="255"/>
      <c r="AJ185" s="255"/>
      <c r="AK185" s="259"/>
      <c r="AL185" s="253"/>
    </row>
    <row r="186" spans="1:38" x14ac:dyDescent="0.25">
      <c r="A186" s="287"/>
      <c r="C186" s="253"/>
      <c r="D186" s="253"/>
      <c r="E186" s="253"/>
      <c r="F186" s="253"/>
      <c r="G186" s="254"/>
      <c r="H186" s="253"/>
      <c r="I186" s="253"/>
      <c r="J186" s="253"/>
      <c r="K186" s="253"/>
      <c r="L186" s="254"/>
      <c r="M186" s="253"/>
      <c r="N186" s="253"/>
      <c r="O186" s="253"/>
      <c r="P186" s="253"/>
      <c r="Q186" s="254"/>
      <c r="R186" s="253"/>
      <c r="S186" s="253"/>
      <c r="T186" s="253"/>
      <c r="U186" s="253"/>
      <c r="V186" s="254"/>
      <c r="W186" s="253"/>
      <c r="X186" s="253"/>
      <c r="Y186" s="253"/>
      <c r="Z186" s="253"/>
      <c r="AA186" s="254"/>
      <c r="AB186" s="253"/>
      <c r="AC186" s="253"/>
      <c r="AD186" s="253"/>
      <c r="AE186" s="253"/>
      <c r="AF186" s="259"/>
      <c r="AG186" s="255"/>
      <c r="AH186" s="255"/>
      <c r="AI186" s="255"/>
      <c r="AJ186" s="255"/>
      <c r="AK186" s="259"/>
      <c r="AL186" s="253"/>
    </row>
    <row r="187" spans="1:38" x14ac:dyDescent="0.25">
      <c r="A187" s="290" t="s">
        <v>236</v>
      </c>
      <c r="C187" s="260"/>
      <c r="D187" s="260"/>
      <c r="E187" s="260"/>
      <c r="F187" s="260"/>
      <c r="G187" s="261"/>
      <c r="H187" s="260"/>
      <c r="I187" s="260"/>
      <c r="J187" s="260"/>
      <c r="K187" s="260"/>
      <c r="L187" s="261"/>
      <c r="M187" s="260"/>
      <c r="N187" s="260"/>
      <c r="O187" s="260"/>
      <c r="P187" s="260"/>
      <c r="Q187" s="261"/>
      <c r="R187" s="260"/>
      <c r="S187" s="260"/>
      <c r="T187" s="260"/>
      <c r="U187" s="260"/>
      <c r="V187" s="261"/>
      <c r="W187" s="260"/>
      <c r="X187" s="260"/>
      <c r="Y187" s="260"/>
      <c r="Z187" s="260"/>
      <c r="AA187" s="261"/>
      <c r="AB187" s="260"/>
      <c r="AC187" s="260"/>
      <c r="AD187" s="260"/>
      <c r="AE187" s="260"/>
      <c r="AF187" s="282"/>
      <c r="AG187" s="236"/>
      <c r="AH187" s="236"/>
      <c r="AI187" s="236"/>
      <c r="AJ187" s="236"/>
      <c r="AK187" s="277"/>
      <c r="AL187" s="253"/>
    </row>
    <row r="188" spans="1:38" x14ac:dyDescent="0.25">
      <c r="A188" s="291" t="s">
        <v>237</v>
      </c>
      <c r="C188" s="253">
        <v>-962</v>
      </c>
      <c r="D188" s="253">
        <v>-1893</v>
      </c>
      <c r="E188" s="253">
        <v>-2731</v>
      </c>
      <c r="F188" s="253">
        <v>-3762</v>
      </c>
      <c r="G188" s="254"/>
      <c r="H188" s="253">
        <v>-1352</v>
      </c>
      <c r="I188" s="253">
        <v>-2881</v>
      </c>
      <c r="J188" s="253">
        <v>-4045</v>
      </c>
      <c r="K188" s="253">
        <v>-4933</v>
      </c>
      <c r="L188" s="254"/>
      <c r="M188" s="253">
        <v>-1824</v>
      </c>
      <c r="N188" s="253">
        <v>-3741</v>
      </c>
      <c r="O188" s="253">
        <v>-5503</v>
      </c>
      <c r="P188" s="253">
        <v>-6497</v>
      </c>
      <c r="Q188" s="254"/>
      <c r="R188" s="253">
        <v>-1383</v>
      </c>
      <c r="S188" s="253">
        <v>-1383</v>
      </c>
      <c r="T188" s="253">
        <v>-3443</v>
      </c>
      <c r="U188" s="253">
        <v>-4473</v>
      </c>
      <c r="V188" s="254"/>
      <c r="W188" s="253">
        <v>-1356</v>
      </c>
      <c r="X188" s="253">
        <v>-3067</v>
      </c>
      <c r="Y188" s="253">
        <v>-4628</v>
      </c>
      <c r="Z188" s="253">
        <v>-5904</v>
      </c>
      <c r="AA188" s="254"/>
      <c r="AB188" s="253">
        <v>-2408</v>
      </c>
      <c r="AC188" s="253">
        <v>-4788</v>
      </c>
      <c r="AD188" s="253">
        <v>-6339</v>
      </c>
      <c r="AE188" s="253">
        <v>-8753</v>
      </c>
      <c r="AF188" s="259"/>
      <c r="AG188" s="255"/>
      <c r="AH188" s="255"/>
      <c r="AI188" s="255"/>
      <c r="AJ188" s="255"/>
      <c r="AK188" s="259"/>
      <c r="AL188" s="253"/>
    </row>
    <row r="189" spans="1:38" x14ac:dyDescent="0.25">
      <c r="A189" s="291" t="s">
        <v>238</v>
      </c>
      <c r="C189" s="253">
        <v>-238</v>
      </c>
      <c r="D189" s="253">
        <v>-474</v>
      </c>
      <c r="E189" s="253">
        <v>-709</v>
      </c>
      <c r="F189" s="253">
        <v>-942</v>
      </c>
      <c r="G189" s="254"/>
      <c r="H189" s="253">
        <v>-263</v>
      </c>
      <c r="I189" s="253">
        <v>-525</v>
      </c>
      <c r="J189" s="253">
        <v>-785</v>
      </c>
      <c r="K189" s="253">
        <v>-1044</v>
      </c>
      <c r="L189" s="254"/>
      <c r="M189" s="253">
        <v>-340</v>
      </c>
      <c r="N189" s="253">
        <v>-677</v>
      </c>
      <c r="O189" s="253">
        <v>-1012</v>
      </c>
      <c r="P189" s="253">
        <v>-1345</v>
      </c>
      <c r="Q189" s="254"/>
      <c r="R189" s="253">
        <v>-403</v>
      </c>
      <c r="S189" s="253">
        <v>-804</v>
      </c>
      <c r="T189" s="253">
        <v>-1206</v>
      </c>
      <c r="U189" s="253">
        <v>-1605</v>
      </c>
      <c r="V189" s="254"/>
      <c r="W189" s="253">
        <v>-439</v>
      </c>
      <c r="X189" s="253">
        <v>-873</v>
      </c>
      <c r="Y189" s="253">
        <v>-1307</v>
      </c>
      <c r="Z189" s="253">
        <v>-1741</v>
      </c>
      <c r="AA189" s="254"/>
      <c r="AB189" s="253">
        <v>-479</v>
      </c>
      <c r="AC189" s="253">
        <v>-956</v>
      </c>
      <c r="AD189" s="253">
        <v>-1430</v>
      </c>
      <c r="AE189" s="253">
        <v>-1903</v>
      </c>
      <c r="AF189" s="259"/>
      <c r="AG189" s="255"/>
      <c r="AH189" s="255"/>
      <c r="AI189" s="255"/>
      <c r="AJ189" s="255"/>
      <c r="AK189" s="259"/>
      <c r="AL189" s="253"/>
    </row>
    <row r="190" spans="1:38" x14ac:dyDescent="0.25">
      <c r="A190" s="291" t="s">
        <v>149</v>
      </c>
      <c r="C190" s="253">
        <v>-37</v>
      </c>
      <c r="D190" s="253">
        <v>-85</v>
      </c>
      <c r="E190" s="253">
        <v>-54</v>
      </c>
      <c r="F190" s="253">
        <v>-60</v>
      </c>
      <c r="G190" s="254"/>
      <c r="H190" s="253">
        <v>-41</v>
      </c>
      <c r="I190" s="253">
        <v>-1</v>
      </c>
      <c r="J190" s="253">
        <v>6</v>
      </c>
      <c r="K190" s="253">
        <v>20</v>
      </c>
      <c r="L190" s="254"/>
      <c r="M190" s="253">
        <v>57</v>
      </c>
      <c r="N190" s="253">
        <v>-222</v>
      </c>
      <c r="O190" s="253">
        <v>-250</v>
      </c>
      <c r="P190" s="253">
        <v>-249</v>
      </c>
      <c r="Q190" s="254"/>
      <c r="R190" s="253">
        <v>-73</v>
      </c>
      <c r="S190" s="253">
        <v>-81</v>
      </c>
      <c r="T190" s="253">
        <v>-87</v>
      </c>
      <c r="U190" s="253">
        <v>-33</v>
      </c>
      <c r="V190" s="254"/>
      <c r="W190" s="253">
        <v>-93</v>
      </c>
      <c r="X190" s="253">
        <v>1139</v>
      </c>
      <c r="Y190" s="253">
        <v>997</v>
      </c>
      <c r="Z190" s="253">
        <v>-464</v>
      </c>
      <c r="AA190" s="254"/>
      <c r="AB190" s="253">
        <v>-110</v>
      </c>
      <c r="AC190" s="253">
        <v>-74</v>
      </c>
      <c r="AD190" s="253">
        <v>1055</v>
      </c>
      <c r="AE190" s="253">
        <f>AE192-AE188-AE189-AE191</f>
        <v>328</v>
      </c>
      <c r="AF190" s="259"/>
      <c r="AG190" s="255"/>
      <c r="AH190" s="255"/>
      <c r="AI190" s="255"/>
      <c r="AJ190" s="255"/>
      <c r="AK190" s="259"/>
      <c r="AL190" s="253"/>
    </row>
    <row r="191" spans="1:38" x14ac:dyDescent="0.25">
      <c r="A191" s="291" t="s">
        <v>239</v>
      </c>
      <c r="C191" s="253"/>
      <c r="D191" s="253"/>
      <c r="E191" s="253"/>
      <c r="F191" s="253"/>
      <c r="G191" s="254"/>
      <c r="H191" s="253">
        <v>991</v>
      </c>
      <c r="I191" s="253">
        <v>991</v>
      </c>
      <c r="J191" s="253">
        <v>991</v>
      </c>
      <c r="K191" s="253">
        <v>991</v>
      </c>
      <c r="L191" s="254"/>
      <c r="M191" s="253">
        <v>-116</v>
      </c>
      <c r="N191" s="253">
        <v>1480</v>
      </c>
      <c r="O191" s="253">
        <v>1480</v>
      </c>
      <c r="P191" s="253">
        <v>2224</v>
      </c>
      <c r="Q191" s="254"/>
      <c r="R191" s="253">
        <v>3959</v>
      </c>
      <c r="S191" s="253">
        <v>3959</v>
      </c>
      <c r="T191" s="253">
        <v>3959</v>
      </c>
      <c r="U191" s="253">
        <v>3959</v>
      </c>
      <c r="V191" s="254"/>
      <c r="W191" s="253">
        <v>1282</v>
      </c>
      <c r="X191" s="253">
        <v>0</v>
      </c>
      <c r="Y191" s="253">
        <v>0</v>
      </c>
      <c r="Z191" s="253">
        <v>1554</v>
      </c>
      <c r="AA191" s="254"/>
      <c r="AB191" s="253">
        <v>843</v>
      </c>
      <c r="AC191" s="253">
        <v>843</v>
      </c>
      <c r="AD191" s="253">
        <v>0</v>
      </c>
      <c r="AE191" s="253">
        <v>0</v>
      </c>
      <c r="AF191" s="259"/>
      <c r="AG191" s="255"/>
      <c r="AH191" s="255"/>
      <c r="AI191" s="255"/>
      <c r="AJ191" s="255"/>
      <c r="AK191" s="259"/>
      <c r="AL191" s="253"/>
    </row>
    <row r="192" spans="1:38" x14ac:dyDescent="0.25">
      <c r="A192" s="288" t="s">
        <v>245</v>
      </c>
      <c r="C192" s="253">
        <v>-1237</v>
      </c>
      <c r="D192" s="253">
        <v>-2452</v>
      </c>
      <c r="E192" s="253">
        <v>-3494</v>
      </c>
      <c r="F192" s="253">
        <v>-4764</v>
      </c>
      <c r="G192" s="254"/>
      <c r="H192" s="253">
        <v>-665</v>
      </c>
      <c r="I192" s="253">
        <v>-2416</v>
      </c>
      <c r="J192" s="253">
        <v>-3833</v>
      </c>
      <c r="K192" s="253">
        <v>-4966</v>
      </c>
      <c r="L192" s="254"/>
      <c r="M192" s="253">
        <v>-2223</v>
      </c>
      <c r="N192" s="253">
        <v>-3160</v>
      </c>
      <c r="O192" s="253">
        <v>-5285</v>
      </c>
      <c r="P192" s="253">
        <v>-5867</v>
      </c>
      <c r="Q192" s="254"/>
      <c r="R192" s="253">
        <v>2100</v>
      </c>
      <c r="S192" s="253">
        <v>1691</v>
      </c>
      <c r="T192" s="253">
        <v>-777</v>
      </c>
      <c r="U192" s="253">
        <v>-2152</v>
      </c>
      <c r="V192" s="254"/>
      <c r="W192" s="253">
        <v>-606</v>
      </c>
      <c r="X192" s="253">
        <v>-2801</v>
      </c>
      <c r="Y192" s="253">
        <v>-4938</v>
      </c>
      <c r="Z192" s="253">
        <v>-6555</v>
      </c>
      <c r="AA192" s="254"/>
      <c r="AB192" s="253">
        <v>-2154</v>
      </c>
      <c r="AC192" s="253">
        <v>-4975</v>
      </c>
      <c r="AD192" s="253">
        <v>-6714</v>
      </c>
      <c r="AE192" s="253">
        <v>-10328</v>
      </c>
      <c r="AF192" s="259"/>
      <c r="AG192" s="255"/>
      <c r="AH192" s="255"/>
      <c r="AI192" s="255"/>
      <c r="AJ192" s="255"/>
      <c r="AK192" s="259"/>
      <c r="AL192" s="253"/>
    </row>
    <row r="193" spans="1:47" x14ac:dyDescent="0.25">
      <c r="A193" s="287"/>
      <c r="C193" s="253"/>
      <c r="D193" s="253"/>
      <c r="E193" s="253"/>
      <c r="F193" s="253"/>
      <c r="G193" s="254"/>
      <c r="H193" s="253"/>
      <c r="I193" s="253"/>
      <c r="J193" s="253"/>
      <c r="K193" s="253"/>
      <c r="L193" s="254"/>
      <c r="M193" s="253"/>
      <c r="N193" s="253"/>
      <c r="O193" s="253"/>
      <c r="P193" s="253"/>
      <c r="Q193" s="254"/>
      <c r="R193" s="253"/>
      <c r="S193" s="253"/>
      <c r="T193" s="253"/>
      <c r="U193" s="253"/>
      <c r="V193" s="254"/>
      <c r="W193" s="253"/>
      <c r="X193" s="253"/>
      <c r="Y193" s="253"/>
      <c r="Z193" s="253"/>
      <c r="AA193" s="254"/>
      <c r="AB193" s="253"/>
      <c r="AC193" s="253"/>
      <c r="AD193" s="253"/>
      <c r="AE193" s="253"/>
      <c r="AF193" s="259"/>
      <c r="AG193" s="255"/>
      <c r="AH193" s="255"/>
      <c r="AI193" s="255"/>
      <c r="AJ193" s="255"/>
      <c r="AK193" s="259"/>
      <c r="AL193" s="253"/>
    </row>
    <row r="194" spans="1:47" x14ac:dyDescent="0.25">
      <c r="A194" s="287" t="s">
        <v>240</v>
      </c>
      <c r="C194" s="253">
        <v>23</v>
      </c>
      <c r="D194" s="253">
        <v>123</v>
      </c>
      <c r="E194" s="253">
        <v>194</v>
      </c>
      <c r="F194" s="253">
        <v>200</v>
      </c>
      <c r="G194" s="254"/>
      <c r="H194" s="253">
        <v>95</v>
      </c>
      <c r="I194" s="253">
        <v>74</v>
      </c>
      <c r="J194" s="253">
        <v>65</v>
      </c>
      <c r="K194" s="253">
        <v>-6</v>
      </c>
      <c r="L194" s="254"/>
      <c r="M194" s="253">
        <v>-54</v>
      </c>
      <c r="N194" s="253">
        <v>-26</v>
      </c>
      <c r="O194" s="253">
        <v>-103</v>
      </c>
      <c r="P194" s="253">
        <v>-44</v>
      </c>
      <c r="Q194" s="254"/>
      <c r="R194" s="253">
        <v>-88</v>
      </c>
      <c r="S194" s="253">
        <v>-49</v>
      </c>
      <c r="T194" s="253">
        <v>66</v>
      </c>
      <c r="U194" s="253">
        <v>257</v>
      </c>
      <c r="V194" s="254"/>
      <c r="W194" s="253">
        <v>-101</v>
      </c>
      <c r="X194" s="253">
        <v>-24</v>
      </c>
      <c r="Y194" s="253">
        <v>-80</v>
      </c>
      <c r="Z194" s="253">
        <v>-153</v>
      </c>
      <c r="AA194" s="254"/>
      <c r="AB194" s="253">
        <v>-28</v>
      </c>
      <c r="AC194" s="253">
        <v>-202</v>
      </c>
      <c r="AD194" s="253">
        <v>-387</v>
      </c>
      <c r="AE194" s="253">
        <v>-103</v>
      </c>
      <c r="AF194" s="259"/>
      <c r="AG194" s="255"/>
      <c r="AH194" s="255"/>
      <c r="AI194" s="255"/>
      <c r="AJ194" s="255"/>
      <c r="AK194" s="259"/>
      <c r="AL194" s="253"/>
    </row>
    <row r="195" spans="1:47" x14ac:dyDescent="0.25">
      <c r="A195" s="287"/>
      <c r="C195" s="253"/>
      <c r="D195" s="253"/>
      <c r="E195" s="253"/>
      <c r="F195" s="253"/>
      <c r="G195" s="254"/>
      <c r="H195" s="253"/>
      <c r="I195" s="253"/>
      <c r="J195" s="253"/>
      <c r="K195" s="253"/>
      <c r="L195" s="254"/>
      <c r="M195" s="253"/>
      <c r="N195" s="253"/>
      <c r="O195" s="253"/>
      <c r="P195" s="253"/>
      <c r="Q195" s="254"/>
      <c r="R195" s="253"/>
      <c r="S195" s="253"/>
      <c r="T195" s="253"/>
      <c r="U195" s="253"/>
      <c r="V195" s="254"/>
      <c r="W195" s="253"/>
      <c r="X195" s="253"/>
      <c r="Y195" s="253"/>
      <c r="Z195" s="253"/>
      <c r="AA195" s="254"/>
      <c r="AB195" s="253"/>
      <c r="AC195" s="253"/>
      <c r="AD195" s="253"/>
      <c r="AE195" s="253"/>
      <c r="AF195" s="259"/>
      <c r="AG195" s="255"/>
      <c r="AH195" s="255"/>
      <c r="AI195" s="255"/>
      <c r="AJ195" s="255"/>
      <c r="AK195" s="259"/>
      <c r="AL195" s="253"/>
    </row>
    <row r="196" spans="1:47" x14ac:dyDescent="0.25">
      <c r="A196" s="287" t="s">
        <v>241</v>
      </c>
      <c r="C196" s="253">
        <v>-715</v>
      </c>
      <c r="D196" s="253">
        <v>-1544</v>
      </c>
      <c r="E196" s="253">
        <v>-1162</v>
      </c>
      <c r="F196" s="253">
        <v>-788</v>
      </c>
      <c r="G196" s="254"/>
      <c r="H196" s="253">
        <v>832</v>
      </c>
      <c r="I196" s="253">
        <v>176</v>
      </c>
      <c r="J196" s="253">
        <v>886</v>
      </c>
      <c r="K196" s="253">
        <v>745</v>
      </c>
      <c r="L196" s="254"/>
      <c r="M196" s="253">
        <v>-752</v>
      </c>
      <c r="N196" s="253">
        <v>-892</v>
      </c>
      <c r="O196" s="253">
        <v>-1365</v>
      </c>
      <c r="P196" s="253">
        <v>632</v>
      </c>
      <c r="Q196" s="254"/>
      <c r="R196" s="253">
        <v>3364</v>
      </c>
      <c r="S196" s="253">
        <v>4333</v>
      </c>
      <c r="T196" s="253">
        <v>3435</v>
      </c>
      <c r="U196" s="253">
        <v>3450</v>
      </c>
      <c r="V196" s="254"/>
      <c r="W196" s="253">
        <v>-2804</v>
      </c>
      <c r="X196" s="253">
        <v>-3796</v>
      </c>
      <c r="Y196" s="253">
        <v>-3578</v>
      </c>
      <c r="Z196" s="253">
        <v>-2517</v>
      </c>
      <c r="AA196" s="254"/>
      <c r="AB196" s="253">
        <v>-687</v>
      </c>
      <c r="AC196" s="253">
        <v>-1750</v>
      </c>
      <c r="AD196" s="253">
        <v>-126</v>
      </c>
      <c r="AE196" s="253">
        <v>-706</v>
      </c>
      <c r="AF196" s="259"/>
      <c r="AG196" s="255"/>
      <c r="AH196" s="255"/>
      <c r="AI196" s="255"/>
      <c r="AJ196" s="255"/>
      <c r="AK196" s="259"/>
      <c r="AL196" s="253"/>
    </row>
    <row r="197" spans="1:47" x14ac:dyDescent="0.25">
      <c r="A197" s="287"/>
      <c r="C197" s="253"/>
      <c r="D197" s="253"/>
      <c r="E197" s="253"/>
      <c r="F197" s="253"/>
      <c r="G197" s="254"/>
      <c r="H197" s="253"/>
      <c r="I197" s="253"/>
      <c r="J197" s="253"/>
      <c r="K197" s="253"/>
      <c r="L197" s="254"/>
      <c r="M197" s="253"/>
      <c r="N197" s="253"/>
      <c r="O197" s="253"/>
      <c r="P197" s="253"/>
      <c r="Q197" s="254"/>
      <c r="R197" s="253"/>
      <c r="S197" s="253"/>
      <c r="T197" s="253"/>
      <c r="U197" s="253"/>
      <c r="V197" s="254"/>
      <c r="W197" s="253"/>
      <c r="X197" s="253"/>
      <c r="Y197" s="253"/>
      <c r="Z197" s="253"/>
      <c r="AA197" s="254"/>
      <c r="AB197" s="253"/>
      <c r="AC197" s="253"/>
      <c r="AD197" s="253"/>
      <c r="AE197" s="253"/>
      <c r="AF197" s="259"/>
      <c r="AG197" s="255"/>
      <c r="AH197" s="255"/>
      <c r="AI197" s="255"/>
      <c r="AJ197" s="255"/>
      <c r="AK197" s="259"/>
      <c r="AL197" s="253"/>
    </row>
    <row r="198" spans="1:47" x14ac:dyDescent="0.25">
      <c r="A198" s="287" t="s">
        <v>242</v>
      </c>
      <c r="C198" s="253">
        <v>6721</v>
      </c>
      <c r="D198" s="253">
        <v>6721</v>
      </c>
      <c r="E198" s="253">
        <v>6721</v>
      </c>
      <c r="F198" s="253">
        <v>6721</v>
      </c>
      <c r="G198" s="254"/>
      <c r="H198" s="253">
        <v>7592</v>
      </c>
      <c r="I198" s="253">
        <v>7592</v>
      </c>
      <c r="J198" s="253">
        <v>7592</v>
      </c>
      <c r="K198" s="253">
        <v>7592</v>
      </c>
      <c r="L198" s="254"/>
      <c r="M198" s="253">
        <v>8337</v>
      </c>
      <c r="N198" s="253">
        <v>8337</v>
      </c>
      <c r="O198" s="253">
        <v>8337</v>
      </c>
      <c r="P198" s="253">
        <v>8337</v>
      </c>
      <c r="Q198" s="254"/>
      <c r="R198" s="253">
        <v>8969</v>
      </c>
      <c r="S198" s="253">
        <v>8969</v>
      </c>
      <c r="T198" s="253">
        <v>8969</v>
      </c>
      <c r="U198" s="253">
        <v>8969</v>
      </c>
      <c r="V198" s="254"/>
      <c r="W198" s="253">
        <v>12419</v>
      </c>
      <c r="X198" s="253">
        <v>12419</v>
      </c>
      <c r="Y198" s="253">
        <v>12419</v>
      </c>
      <c r="Z198" s="253">
        <v>12419</v>
      </c>
      <c r="AA198" s="254"/>
      <c r="AB198" s="253">
        <v>9902</v>
      </c>
      <c r="AC198" s="253">
        <v>9902</v>
      </c>
      <c r="AD198" s="253">
        <v>9902</v>
      </c>
      <c r="AE198" s="253">
        <v>9902</v>
      </c>
      <c r="AF198" s="259"/>
      <c r="AG198" s="255"/>
      <c r="AH198" s="255"/>
      <c r="AI198" s="255"/>
      <c r="AJ198" s="255"/>
      <c r="AK198" s="259"/>
      <c r="AL198" s="253"/>
    </row>
    <row r="199" spans="1:47" x14ac:dyDescent="0.25">
      <c r="A199" s="286" t="s">
        <v>243</v>
      </c>
      <c r="C199" s="253">
        <f>SUM(C196,C198)</f>
        <v>6006</v>
      </c>
      <c r="D199" s="253">
        <f t="shared" ref="D199:F199" si="380">SUM(D196,D198)</f>
        <v>5177</v>
      </c>
      <c r="E199" s="253">
        <f t="shared" si="380"/>
        <v>5559</v>
      </c>
      <c r="F199" s="253">
        <f t="shared" si="380"/>
        <v>5933</v>
      </c>
      <c r="G199" s="254"/>
      <c r="H199" s="253">
        <f>SUM(H196,H198)</f>
        <v>8424</v>
      </c>
      <c r="I199" s="253">
        <f t="shared" ref="I199" si="381">SUM(I196,I198)</f>
        <v>7768</v>
      </c>
      <c r="J199" s="253">
        <f t="shared" ref="J199" si="382">SUM(J196,J198)</f>
        <v>8478</v>
      </c>
      <c r="K199" s="253">
        <f t="shared" ref="K199" si="383">SUM(K196,K198)</f>
        <v>8337</v>
      </c>
      <c r="L199" s="254"/>
      <c r="M199" s="253">
        <f>SUM(M196,M198)</f>
        <v>7585</v>
      </c>
      <c r="N199" s="253">
        <f t="shared" ref="N199" si="384">SUM(N196,N198)</f>
        <v>7445</v>
      </c>
      <c r="O199" s="253">
        <f t="shared" ref="O199" si="385">SUM(O196,O198)</f>
        <v>6972</v>
      </c>
      <c r="P199" s="253">
        <f t="shared" ref="P199" si="386">SUM(P196,P198)</f>
        <v>8969</v>
      </c>
      <c r="Q199" s="254"/>
      <c r="R199" s="253">
        <f>SUM(R196,R198)</f>
        <v>12333</v>
      </c>
      <c r="S199" s="253">
        <f t="shared" ref="S199" si="387">SUM(S196,S198)</f>
        <v>13302</v>
      </c>
      <c r="T199" s="253">
        <f t="shared" ref="T199" si="388">SUM(T196,T198)</f>
        <v>12404</v>
      </c>
      <c r="U199" s="253">
        <f t="shared" ref="U199" si="389">SUM(U196,U198)</f>
        <v>12419</v>
      </c>
      <c r="V199" s="254"/>
      <c r="W199" s="253">
        <f>SUM(W196,W198)</f>
        <v>9615</v>
      </c>
      <c r="X199" s="253">
        <f t="shared" ref="X199" si="390">SUM(X196,X198)</f>
        <v>8623</v>
      </c>
      <c r="Y199" s="253">
        <f t="shared" ref="Y199" si="391">SUM(Y196,Y198)</f>
        <v>8841</v>
      </c>
      <c r="Z199" s="253">
        <f t="shared" ref="Z199" si="392">SUM(Z196,Z198)</f>
        <v>9902</v>
      </c>
      <c r="AA199" s="254"/>
      <c r="AB199" s="253">
        <f>SUM(AB196,AB198)</f>
        <v>9215</v>
      </c>
      <c r="AC199" s="253">
        <f t="shared" ref="AC199" si="393">SUM(AC196,AC198)</f>
        <v>8152</v>
      </c>
      <c r="AD199" s="253">
        <f t="shared" ref="AD199" si="394">SUM(AD196,AD198)</f>
        <v>9776</v>
      </c>
      <c r="AE199" s="253">
        <f t="shared" ref="AE199" si="395">SUM(AE196,AE198)</f>
        <v>9196</v>
      </c>
      <c r="AF199" s="259"/>
      <c r="AG199" s="255"/>
      <c r="AH199" s="255"/>
      <c r="AI199" s="255"/>
      <c r="AJ199" s="255"/>
      <c r="AK199" s="259"/>
      <c r="AL199" s="253"/>
    </row>
    <row r="200" spans="1:47" x14ac:dyDescent="0.25">
      <c r="A200" s="286"/>
      <c r="C200" s="253"/>
      <c r="D200" s="253"/>
      <c r="E200" s="253"/>
      <c r="F200" s="253"/>
      <c r="G200" s="254"/>
      <c r="H200" s="253"/>
      <c r="I200" s="253"/>
      <c r="J200" s="253"/>
      <c r="K200" s="253"/>
      <c r="L200" s="254"/>
      <c r="M200" s="253"/>
      <c r="N200" s="253"/>
      <c r="O200" s="253"/>
      <c r="P200" s="253"/>
      <c r="Q200" s="254"/>
      <c r="R200" s="253"/>
      <c r="S200" s="253"/>
      <c r="T200" s="253"/>
      <c r="U200" s="253"/>
      <c r="V200" s="254"/>
      <c r="W200" s="253"/>
      <c r="X200" s="253"/>
      <c r="Y200" s="253"/>
      <c r="Z200" s="253"/>
      <c r="AA200" s="254"/>
      <c r="AB200" s="253"/>
      <c r="AC200" s="253"/>
      <c r="AD200" s="253"/>
      <c r="AE200" s="255"/>
      <c r="AF200" s="259"/>
      <c r="AG200" s="255"/>
      <c r="AH200" s="255"/>
      <c r="AI200" s="255"/>
      <c r="AJ200" s="255"/>
      <c r="AK200" s="259"/>
      <c r="AL200" s="253"/>
    </row>
    <row r="201" spans="1:47" x14ac:dyDescent="0.25">
      <c r="A201" s="286"/>
      <c r="C201" s="253"/>
      <c r="D201" s="253"/>
      <c r="E201" s="253"/>
      <c r="F201" s="253"/>
      <c r="G201" s="254"/>
      <c r="H201" s="253"/>
      <c r="I201" s="253"/>
      <c r="J201" s="253"/>
      <c r="K201" s="253"/>
      <c r="L201" s="254"/>
      <c r="M201" s="253"/>
      <c r="N201" s="253"/>
      <c r="O201" s="253"/>
      <c r="P201" s="253"/>
      <c r="Q201" s="254"/>
      <c r="R201" s="253"/>
      <c r="S201" s="253"/>
      <c r="T201" s="253"/>
      <c r="U201" s="253"/>
      <c r="V201" s="253"/>
      <c r="W201" s="253"/>
      <c r="X201" s="253"/>
      <c r="Y201" s="253"/>
      <c r="Z201" s="253"/>
      <c r="AA201" s="253"/>
      <c r="AB201" s="253"/>
      <c r="AC201" s="253"/>
      <c r="AD201" s="253"/>
      <c r="AE201" s="255"/>
      <c r="AF201" s="255"/>
      <c r="AG201" s="255"/>
      <c r="AH201" s="255"/>
      <c r="AI201" s="255"/>
      <c r="AJ201" s="255"/>
      <c r="AK201" s="255"/>
      <c r="AL201" s="253"/>
    </row>
    <row r="202" spans="1:47" x14ac:dyDescent="0.25">
      <c r="A202" s="286"/>
      <c r="C202" s="253"/>
      <c r="D202" s="253"/>
      <c r="E202" s="253"/>
      <c r="F202" s="253"/>
      <c r="G202" s="254"/>
      <c r="H202" s="253"/>
      <c r="I202" s="253"/>
      <c r="J202" s="253"/>
      <c r="K202" s="253"/>
      <c r="L202" s="254"/>
      <c r="M202" s="253"/>
      <c r="N202" s="253"/>
      <c r="O202" s="253"/>
      <c r="P202" s="253"/>
      <c r="Q202" s="254"/>
      <c r="R202" s="253"/>
      <c r="S202" s="253"/>
      <c r="T202" s="253"/>
      <c r="U202" s="253"/>
      <c r="V202" s="253"/>
      <c r="W202" s="253"/>
      <c r="X202" s="253"/>
      <c r="Y202" s="253"/>
      <c r="Z202" s="253"/>
      <c r="AA202" s="253"/>
      <c r="AB202" s="253"/>
      <c r="AC202" s="253"/>
      <c r="AD202" s="253"/>
      <c r="AE202" s="255"/>
      <c r="AF202" s="255"/>
      <c r="AG202" s="255"/>
      <c r="AH202" s="255"/>
      <c r="AI202" s="255"/>
      <c r="AJ202" s="255"/>
      <c r="AK202" s="255"/>
      <c r="AL202" s="253"/>
    </row>
    <row r="203" spans="1:47" x14ac:dyDescent="0.25">
      <c r="A203" s="286"/>
      <c r="C203" s="253"/>
      <c r="D203" s="253"/>
      <c r="E203" s="253"/>
      <c r="F203" s="253"/>
      <c r="G203" s="254"/>
      <c r="H203" s="253"/>
      <c r="I203" s="253"/>
      <c r="J203" s="253"/>
      <c r="K203" s="253"/>
      <c r="L203" s="254"/>
      <c r="M203" s="253"/>
      <c r="N203" s="253"/>
      <c r="O203" s="253"/>
      <c r="P203" s="253"/>
      <c r="Q203" s="254"/>
      <c r="R203" s="253"/>
      <c r="S203" s="253"/>
      <c r="T203" s="253"/>
      <c r="U203" s="253"/>
      <c r="V203" s="253"/>
      <c r="W203" s="253"/>
      <c r="X203" s="253"/>
      <c r="Y203" s="253"/>
      <c r="Z203" s="253"/>
      <c r="AA203" s="253"/>
      <c r="AB203" s="253"/>
      <c r="AC203" s="253"/>
      <c r="AD203" s="253"/>
      <c r="AE203" s="255"/>
      <c r="AF203" s="255"/>
      <c r="AG203" s="255"/>
      <c r="AH203" s="255"/>
      <c r="AI203" s="255"/>
      <c r="AJ203" s="255"/>
      <c r="AK203" s="255"/>
      <c r="AL203" s="253"/>
    </row>
    <row r="204" spans="1:47" x14ac:dyDescent="0.25">
      <c r="A204" s="286"/>
      <c r="C204" s="253"/>
      <c r="D204" s="253"/>
      <c r="E204" s="253"/>
      <c r="F204" s="253"/>
      <c r="G204" s="254"/>
      <c r="H204" s="253"/>
      <c r="I204" s="253"/>
      <c r="J204" s="253"/>
      <c r="K204" s="253"/>
      <c r="L204" s="254"/>
      <c r="M204" s="253"/>
      <c r="N204" s="253"/>
      <c r="O204" s="253"/>
      <c r="P204" s="253"/>
      <c r="Q204" s="254"/>
      <c r="R204" s="253"/>
      <c r="S204" s="253"/>
      <c r="T204" s="253"/>
      <c r="U204" s="253"/>
      <c r="V204" s="253"/>
      <c r="W204" s="253"/>
      <c r="X204" s="253"/>
      <c r="Y204" s="253"/>
      <c r="Z204" s="253"/>
      <c r="AA204" s="253"/>
      <c r="AC204" s="253"/>
      <c r="AD204" s="253"/>
      <c r="AE204" s="255"/>
      <c r="AF204" s="255"/>
      <c r="AG204" s="255"/>
      <c r="AH204" s="255"/>
      <c r="AI204" s="255"/>
      <c r="AJ204" s="255"/>
      <c r="AK204" s="255"/>
      <c r="AL204" s="253"/>
    </row>
    <row r="205" spans="1:47" ht="15.95" customHeight="1" x14ac:dyDescent="0.25">
      <c r="V205" s="309"/>
      <c r="W205" s="400" t="s">
        <v>294</v>
      </c>
      <c r="X205" s="400"/>
      <c r="Y205" s="400"/>
      <c r="Z205" s="2"/>
      <c r="AA205" s="2"/>
      <c r="AB205" s="2"/>
      <c r="AC205" s="2"/>
      <c r="AD205" s="2"/>
      <c r="AE205" s="310"/>
      <c r="AF205" s="310"/>
      <c r="AG205" s="2" t="s">
        <v>296</v>
      </c>
      <c r="AH205" s="310"/>
      <c r="AI205" s="310"/>
      <c r="AJ205" s="310"/>
      <c r="AK205" s="310"/>
      <c r="AL205" s="2">
        <v>2024</v>
      </c>
      <c r="AM205" s="2"/>
      <c r="AN205" s="2"/>
      <c r="AO205" s="2"/>
      <c r="AP205" s="2" t="s">
        <v>299</v>
      </c>
      <c r="AQ205" s="2">
        <v>2025</v>
      </c>
      <c r="AR205" s="2"/>
      <c r="AS205" s="2"/>
      <c r="AT205" s="2"/>
      <c r="AU205" s="311" t="s">
        <v>300</v>
      </c>
    </row>
    <row r="206" spans="1:47" ht="14.1" customHeight="1" x14ac:dyDescent="0.25">
      <c r="V206" s="312"/>
      <c r="W206" s="401" t="s">
        <v>295</v>
      </c>
      <c r="X206" s="401"/>
      <c r="Y206" s="401"/>
      <c r="Z206" s="320"/>
      <c r="AA206" s="320"/>
      <c r="AB206" s="320"/>
      <c r="AC206" s="321">
        <v>1.06</v>
      </c>
      <c r="AD206" s="321">
        <v>1.01</v>
      </c>
      <c r="AE206" s="322">
        <v>0.95</v>
      </c>
      <c r="AF206" s="323"/>
      <c r="AG206" s="323">
        <v>0.98</v>
      </c>
      <c r="AH206" s="323">
        <v>0.98</v>
      </c>
      <c r="AI206" s="323">
        <v>0.98</v>
      </c>
      <c r="AJ206" s="323">
        <v>0.98</v>
      </c>
      <c r="AK206" s="323"/>
      <c r="AL206" s="323">
        <v>1</v>
      </c>
      <c r="AM206" s="323">
        <v>1</v>
      </c>
      <c r="AN206" s="323">
        <v>1</v>
      </c>
      <c r="AO206" s="323">
        <v>1</v>
      </c>
      <c r="AP206" s="320"/>
      <c r="AQ206" s="323">
        <v>1</v>
      </c>
      <c r="AR206" s="323">
        <v>1</v>
      </c>
      <c r="AS206" s="323">
        <v>1</v>
      </c>
      <c r="AT206" s="323">
        <v>1</v>
      </c>
      <c r="AU206" s="313"/>
    </row>
    <row r="207" spans="1:47" x14ac:dyDescent="0.25">
      <c r="V207" s="312"/>
      <c r="W207" s="272" t="s">
        <v>273</v>
      </c>
      <c r="AA207"/>
      <c r="AF207" s="55"/>
      <c r="AG207" s="55"/>
      <c r="AH207" s="55"/>
      <c r="AI207" s="55"/>
      <c r="AJ207" s="55"/>
      <c r="AK207" s="55"/>
      <c r="AU207" s="313"/>
    </row>
    <row r="208" spans="1:47" x14ac:dyDescent="0.25">
      <c r="V208" s="312"/>
      <c r="W208" s="109" t="s">
        <v>274</v>
      </c>
      <c r="AA208"/>
      <c r="AC208" s="314">
        <v>788</v>
      </c>
      <c r="AD208" s="314">
        <v>788</v>
      </c>
      <c r="AE208" s="314">
        <v>788</v>
      </c>
      <c r="AF208" s="55"/>
      <c r="AG208" s="314">
        <v>788</v>
      </c>
      <c r="AH208" s="314">
        <v>788</v>
      </c>
      <c r="AI208" s="314">
        <v>788</v>
      </c>
      <c r="AJ208" s="314">
        <v>788</v>
      </c>
      <c r="AK208" s="55"/>
      <c r="AL208" s="314">
        <v>788</v>
      </c>
      <c r="AM208" s="314">
        <v>788</v>
      </c>
      <c r="AN208" s="314">
        <v>788</v>
      </c>
      <c r="AO208" s="314">
        <v>788</v>
      </c>
      <c r="AQ208" s="314">
        <v>788</v>
      </c>
      <c r="AR208" s="314">
        <v>788</v>
      </c>
      <c r="AS208" s="314">
        <v>788</v>
      </c>
      <c r="AT208" s="314">
        <v>788</v>
      </c>
      <c r="AU208" s="313"/>
    </row>
    <row r="209" spans="22:47" x14ac:dyDescent="0.25">
      <c r="V209" s="312"/>
      <c r="W209" s="109" t="s">
        <v>275</v>
      </c>
      <c r="AA209"/>
      <c r="AC209" s="314">
        <v>750</v>
      </c>
      <c r="AD209" s="314">
        <v>750</v>
      </c>
      <c r="AE209" s="314">
        <v>750</v>
      </c>
      <c r="AF209" s="55"/>
      <c r="AG209" s="314">
        <v>750</v>
      </c>
      <c r="AH209" s="314">
        <v>750</v>
      </c>
      <c r="AI209" s="314">
        <v>750</v>
      </c>
      <c r="AJ209" s="314">
        <v>750</v>
      </c>
      <c r="AK209" s="55"/>
      <c r="AL209" s="314">
        <v>750</v>
      </c>
      <c r="AM209" s="314">
        <v>750</v>
      </c>
      <c r="AN209" s="314">
        <v>750</v>
      </c>
      <c r="AO209" s="314">
        <v>750</v>
      </c>
      <c r="AQ209" s="314">
        <v>750</v>
      </c>
      <c r="AR209" s="314">
        <v>750</v>
      </c>
      <c r="AS209" s="314">
        <v>750</v>
      </c>
      <c r="AT209" s="314">
        <v>750</v>
      </c>
      <c r="AU209" s="313"/>
    </row>
    <row r="210" spans="22:47" x14ac:dyDescent="0.25">
      <c r="V210" s="312"/>
      <c r="W210" s="109" t="s">
        <v>276</v>
      </c>
      <c r="AA210"/>
      <c r="AC210" s="314">
        <v>600</v>
      </c>
      <c r="AD210" s="314">
        <v>600</v>
      </c>
      <c r="AE210" s="314">
        <v>600</v>
      </c>
      <c r="AF210" s="55"/>
      <c r="AG210" s="314">
        <v>600</v>
      </c>
      <c r="AH210" s="314">
        <v>600</v>
      </c>
      <c r="AI210" s="314">
        <v>600</v>
      </c>
      <c r="AJ210" s="314">
        <v>600</v>
      </c>
      <c r="AK210" s="55"/>
      <c r="AL210" s="314">
        <v>600</v>
      </c>
      <c r="AM210" s="314">
        <v>600</v>
      </c>
      <c r="AN210" s="314">
        <v>600</v>
      </c>
      <c r="AO210" s="314">
        <v>600</v>
      </c>
      <c r="AQ210" s="314">
        <v>600</v>
      </c>
      <c r="AR210" s="314">
        <v>600</v>
      </c>
      <c r="AS210" s="314">
        <v>600</v>
      </c>
      <c r="AT210" s="314">
        <v>600</v>
      </c>
      <c r="AU210" s="313"/>
    </row>
    <row r="211" spans="22:47" x14ac:dyDescent="0.25">
      <c r="V211" s="312"/>
      <c r="W211" s="109" t="s">
        <v>277</v>
      </c>
      <c r="AA211"/>
      <c r="AC211" s="314">
        <v>700</v>
      </c>
      <c r="AD211" s="314">
        <v>700</v>
      </c>
      <c r="AE211" s="314">
        <v>700</v>
      </c>
      <c r="AF211" s="55"/>
      <c r="AG211" s="314">
        <v>700</v>
      </c>
      <c r="AH211" s="314">
        <v>700</v>
      </c>
      <c r="AI211" s="314">
        <v>700</v>
      </c>
      <c r="AJ211" s="314">
        <v>700</v>
      </c>
      <c r="AK211" s="55"/>
      <c r="AL211" s="314">
        <v>700</v>
      </c>
      <c r="AM211" s="314">
        <v>700</v>
      </c>
      <c r="AN211" s="314">
        <v>700</v>
      </c>
      <c r="AO211" s="314">
        <v>700</v>
      </c>
      <c r="AQ211" s="314">
        <v>700</v>
      </c>
      <c r="AR211" s="314">
        <v>700</v>
      </c>
      <c r="AS211" s="314">
        <v>700</v>
      </c>
      <c r="AT211" s="314">
        <v>700</v>
      </c>
      <c r="AU211" s="313"/>
    </row>
    <row r="212" spans="22:47" x14ac:dyDescent="0.25">
      <c r="V212" s="312"/>
      <c r="W212" s="109" t="s">
        <v>278</v>
      </c>
      <c r="AA212"/>
      <c r="AC212" s="314">
        <v>1000</v>
      </c>
      <c r="AD212" s="314">
        <v>1000</v>
      </c>
      <c r="AE212" s="314">
        <v>1000</v>
      </c>
      <c r="AF212" s="55"/>
      <c r="AG212" s="314">
        <v>1000</v>
      </c>
      <c r="AH212" s="314">
        <v>1000</v>
      </c>
      <c r="AI212" s="314">
        <v>1000</v>
      </c>
      <c r="AJ212" s="314">
        <v>1000</v>
      </c>
      <c r="AK212" s="55"/>
      <c r="AL212" s="314">
        <v>1000</v>
      </c>
      <c r="AM212" s="314">
        <v>1000</v>
      </c>
      <c r="AN212" s="314">
        <v>1000</v>
      </c>
      <c r="AO212" s="314">
        <v>1000</v>
      </c>
      <c r="AQ212" s="314">
        <v>1000</v>
      </c>
      <c r="AR212" s="314">
        <v>1000</v>
      </c>
      <c r="AS212" s="314">
        <v>1000</v>
      </c>
      <c r="AT212" s="314">
        <v>1000</v>
      </c>
      <c r="AU212" s="313"/>
    </row>
    <row r="213" spans="22:47" x14ac:dyDescent="0.25">
      <c r="V213" s="312"/>
      <c r="W213" s="109" t="s">
        <v>279</v>
      </c>
      <c r="AA213"/>
      <c r="AC213" s="314">
        <v>1500</v>
      </c>
      <c r="AD213" s="314">
        <v>1500</v>
      </c>
      <c r="AE213" s="314">
        <v>1500</v>
      </c>
      <c r="AF213" s="55"/>
      <c r="AG213" s="314">
        <v>1500</v>
      </c>
      <c r="AH213" s="314">
        <v>1500</v>
      </c>
      <c r="AI213" s="314">
        <v>1500</v>
      </c>
      <c r="AJ213" s="314">
        <v>1500</v>
      </c>
      <c r="AK213" s="55"/>
      <c r="AL213" s="314">
        <v>1500</v>
      </c>
      <c r="AM213" s="314">
        <v>1500</v>
      </c>
      <c r="AN213" s="314">
        <v>1500</v>
      </c>
      <c r="AO213" s="314">
        <v>1500</v>
      </c>
      <c r="AQ213" s="314">
        <v>1500</v>
      </c>
      <c r="AR213" s="314">
        <v>1500</v>
      </c>
      <c r="AS213" s="314">
        <v>1500</v>
      </c>
      <c r="AT213" s="314">
        <v>1500</v>
      </c>
      <c r="AU213" s="313"/>
    </row>
    <row r="214" spans="22:47" x14ac:dyDescent="0.25">
      <c r="V214" s="312"/>
      <c r="W214" s="109" t="s">
        <v>280</v>
      </c>
      <c r="AA214"/>
      <c r="AC214" s="314">
        <v>1500</v>
      </c>
      <c r="AD214" s="314">
        <v>1500</v>
      </c>
      <c r="AE214" s="314">
        <v>1500</v>
      </c>
      <c r="AF214" s="55"/>
      <c r="AG214" s="314">
        <v>1500</v>
      </c>
      <c r="AH214" s="314">
        <v>1500</v>
      </c>
      <c r="AI214" s="314">
        <v>1500</v>
      </c>
      <c r="AJ214" s="314">
        <v>1500</v>
      </c>
      <c r="AK214" s="55"/>
      <c r="AL214" s="314">
        <v>1500</v>
      </c>
      <c r="AM214" s="314">
        <v>1500</v>
      </c>
      <c r="AN214" s="314">
        <v>1500</v>
      </c>
      <c r="AO214" s="314">
        <v>1500</v>
      </c>
      <c r="AQ214" s="314">
        <v>1500</v>
      </c>
      <c r="AR214" s="314">
        <v>1500</v>
      </c>
      <c r="AS214" s="314">
        <v>1500</v>
      </c>
      <c r="AT214" s="314">
        <v>1500</v>
      </c>
      <c r="AU214" s="313"/>
    </row>
    <row r="215" spans="22:47" x14ac:dyDescent="0.25">
      <c r="V215" s="312"/>
      <c r="W215" s="109" t="s">
        <v>281</v>
      </c>
      <c r="AA215"/>
      <c r="AC215" s="314">
        <v>1000</v>
      </c>
      <c r="AD215" s="314">
        <v>1000</v>
      </c>
      <c r="AE215" s="314">
        <v>1000</v>
      </c>
      <c r="AF215" s="55"/>
      <c r="AG215" s="314">
        <v>1000</v>
      </c>
      <c r="AH215" s="314">
        <v>1000</v>
      </c>
      <c r="AI215" s="314">
        <v>1000</v>
      </c>
      <c r="AJ215" s="314">
        <v>1000</v>
      </c>
      <c r="AK215" s="55"/>
      <c r="AL215" s="314">
        <v>1000</v>
      </c>
      <c r="AM215" s="314">
        <v>1000</v>
      </c>
      <c r="AN215" s="314">
        <v>1000</v>
      </c>
      <c r="AO215" s="314">
        <v>1000</v>
      </c>
      <c r="AQ215" s="314">
        <v>1000</v>
      </c>
      <c r="AR215" s="314">
        <v>1000</v>
      </c>
      <c r="AS215" s="314">
        <v>1000</v>
      </c>
      <c r="AT215" s="314">
        <v>1000</v>
      </c>
      <c r="AU215" s="313"/>
    </row>
    <row r="216" spans="22:47" x14ac:dyDescent="0.25">
      <c r="V216" s="312"/>
      <c r="W216" s="109" t="s">
        <v>282</v>
      </c>
      <c r="AA216"/>
      <c r="AC216" s="314">
        <v>1000</v>
      </c>
      <c r="AD216" s="314">
        <v>1000</v>
      </c>
      <c r="AE216" s="314">
        <v>1000</v>
      </c>
      <c r="AF216" s="55"/>
      <c r="AG216" s="314">
        <v>1000</v>
      </c>
      <c r="AH216" s="314">
        <v>1000</v>
      </c>
      <c r="AI216" s="314">
        <v>1000</v>
      </c>
      <c r="AJ216" s="314">
        <v>1000</v>
      </c>
      <c r="AK216" s="55"/>
      <c r="AL216" s="314">
        <v>1000</v>
      </c>
      <c r="AM216" s="314">
        <v>1000</v>
      </c>
      <c r="AN216" s="314">
        <v>1000</v>
      </c>
      <c r="AO216" s="314">
        <v>1000</v>
      </c>
      <c r="AQ216" s="314">
        <v>1000</v>
      </c>
      <c r="AR216" s="314">
        <v>1000</v>
      </c>
      <c r="AS216" s="314">
        <v>1000</v>
      </c>
      <c r="AT216" s="314">
        <v>1000</v>
      </c>
      <c r="AU216" s="313"/>
    </row>
    <row r="217" spans="22:47" x14ac:dyDescent="0.25">
      <c r="V217" s="312"/>
      <c r="W217" s="109" t="s">
        <v>283</v>
      </c>
      <c r="AA217"/>
      <c r="AC217" s="314">
        <v>750</v>
      </c>
      <c r="AD217" s="314">
        <v>750</v>
      </c>
      <c r="AE217" s="314">
        <v>750</v>
      </c>
      <c r="AF217" s="55"/>
      <c r="AG217" s="314">
        <v>750</v>
      </c>
      <c r="AH217" s="314">
        <v>750</v>
      </c>
      <c r="AI217" s="314">
        <v>750</v>
      </c>
      <c r="AJ217" s="314">
        <v>750</v>
      </c>
      <c r="AK217" s="55"/>
      <c r="AL217" s="314">
        <v>750</v>
      </c>
      <c r="AM217" s="314">
        <v>750</v>
      </c>
      <c r="AN217" s="314">
        <v>750</v>
      </c>
      <c r="AO217" s="314">
        <v>750</v>
      </c>
      <c r="AQ217" s="314">
        <v>750</v>
      </c>
      <c r="AR217" s="314">
        <v>750</v>
      </c>
      <c r="AS217" s="314">
        <v>750</v>
      </c>
      <c r="AT217" s="314">
        <v>750</v>
      </c>
      <c r="AU217" s="313"/>
    </row>
    <row r="218" spans="22:47" x14ac:dyDescent="0.25">
      <c r="V218" s="312"/>
      <c r="W218" s="109" t="s">
        <v>284</v>
      </c>
      <c r="AA218"/>
      <c r="AC218" s="314">
        <v>500</v>
      </c>
      <c r="AD218" s="314">
        <v>500</v>
      </c>
      <c r="AE218" s="314">
        <v>500</v>
      </c>
      <c r="AF218"/>
      <c r="AG218" s="314">
        <v>500</v>
      </c>
      <c r="AH218" s="314">
        <v>500</v>
      </c>
      <c r="AI218" s="314">
        <v>500</v>
      </c>
      <c r="AJ218" s="314">
        <v>500</v>
      </c>
      <c r="AK218"/>
      <c r="AL218" s="314">
        <v>500</v>
      </c>
      <c r="AM218" s="314">
        <v>500</v>
      </c>
      <c r="AN218" s="314">
        <v>500</v>
      </c>
      <c r="AO218" s="314">
        <v>500</v>
      </c>
      <c r="AQ218" s="314">
        <v>500</v>
      </c>
      <c r="AR218" s="314">
        <v>500</v>
      </c>
      <c r="AS218" s="314">
        <v>500</v>
      </c>
      <c r="AT218" s="314">
        <v>500</v>
      </c>
      <c r="AU218" s="313"/>
    </row>
    <row r="219" spans="22:47" x14ac:dyDescent="0.25">
      <c r="V219" s="312"/>
      <c r="W219" s="109" t="s">
        <v>285</v>
      </c>
      <c r="AA219"/>
      <c r="AC219" s="314">
        <v>500</v>
      </c>
      <c r="AD219" s="314">
        <v>500</v>
      </c>
      <c r="AE219" s="314">
        <v>500</v>
      </c>
      <c r="AF219"/>
      <c r="AG219" s="314">
        <v>500</v>
      </c>
      <c r="AH219" s="314">
        <v>500</v>
      </c>
      <c r="AI219" s="314">
        <v>500</v>
      </c>
      <c r="AJ219" s="314">
        <v>500</v>
      </c>
      <c r="AK219"/>
      <c r="AL219" s="314">
        <v>500</v>
      </c>
      <c r="AM219" s="314">
        <v>500</v>
      </c>
      <c r="AN219" s="314">
        <v>500</v>
      </c>
      <c r="AO219" s="314">
        <v>500</v>
      </c>
      <c r="AQ219" s="314">
        <v>500</v>
      </c>
      <c r="AR219" s="314">
        <v>500</v>
      </c>
      <c r="AS219" s="314">
        <v>500</v>
      </c>
      <c r="AT219" s="314">
        <v>500</v>
      </c>
      <c r="AU219" s="313"/>
    </row>
    <row r="220" spans="22:47" x14ac:dyDescent="0.25">
      <c r="V220" s="312"/>
      <c r="W220" s="109" t="s">
        <v>286</v>
      </c>
      <c r="AA220"/>
      <c r="AC220" s="314">
        <v>750</v>
      </c>
      <c r="AD220" s="314">
        <v>750</v>
      </c>
      <c r="AE220" s="314">
        <v>750</v>
      </c>
      <c r="AF220"/>
      <c r="AG220" s="314">
        <v>750</v>
      </c>
      <c r="AH220" s="314">
        <v>750</v>
      </c>
      <c r="AI220" s="314">
        <v>750</v>
      </c>
      <c r="AJ220" s="314">
        <v>750</v>
      </c>
      <c r="AK220"/>
      <c r="AL220" s="314">
        <v>750</v>
      </c>
      <c r="AM220" s="314">
        <v>750</v>
      </c>
      <c r="AN220" s="314">
        <v>750</v>
      </c>
      <c r="AO220" s="314">
        <v>750</v>
      </c>
      <c r="AQ220" s="314">
        <v>750</v>
      </c>
      <c r="AR220" s="314">
        <v>750</v>
      </c>
      <c r="AS220" s="314">
        <v>750</v>
      </c>
      <c r="AT220" s="314">
        <v>750</v>
      </c>
      <c r="AU220" s="313"/>
    </row>
    <row r="221" spans="22:47" x14ac:dyDescent="0.25">
      <c r="V221" s="312"/>
      <c r="W221" s="109" t="s">
        <v>287</v>
      </c>
      <c r="AA221"/>
      <c r="AC221" s="314">
        <v>600</v>
      </c>
      <c r="AD221" s="314">
        <v>600</v>
      </c>
      <c r="AE221" s="314">
        <v>600</v>
      </c>
      <c r="AF221"/>
      <c r="AG221" s="314">
        <v>600</v>
      </c>
      <c r="AH221" s="314">
        <v>600</v>
      </c>
      <c r="AI221" s="314">
        <v>600</v>
      </c>
      <c r="AJ221" s="314">
        <v>600</v>
      </c>
      <c r="AK221"/>
      <c r="AL221" s="314">
        <v>600</v>
      </c>
      <c r="AM221" s="314">
        <v>600</v>
      </c>
      <c r="AN221" s="314">
        <v>600</v>
      </c>
      <c r="AO221" s="314">
        <v>600</v>
      </c>
      <c r="AQ221" s="314">
        <v>600</v>
      </c>
      <c r="AR221" s="314">
        <v>600</v>
      </c>
      <c r="AS221" s="314">
        <v>600</v>
      </c>
      <c r="AT221" s="314">
        <v>600</v>
      </c>
      <c r="AU221" s="313"/>
    </row>
    <row r="222" spans="22:47" x14ac:dyDescent="0.25">
      <c r="V222" s="312"/>
      <c r="W222" s="109" t="s">
        <v>288</v>
      </c>
      <c r="AA222"/>
      <c r="AC222" s="314">
        <v>735</v>
      </c>
      <c r="AD222" s="314">
        <v>735</v>
      </c>
      <c r="AE222" s="314">
        <v>735</v>
      </c>
      <c r="AF222"/>
      <c r="AG222" s="314">
        <v>735</v>
      </c>
      <c r="AH222" s="314">
        <v>735</v>
      </c>
      <c r="AI222" s="314">
        <v>735</v>
      </c>
      <c r="AJ222" s="314">
        <v>735</v>
      </c>
      <c r="AK222"/>
      <c r="AL222" s="314">
        <v>735</v>
      </c>
      <c r="AM222" s="314">
        <v>735</v>
      </c>
      <c r="AN222" s="314">
        <v>735</v>
      </c>
      <c r="AO222" s="314">
        <v>735</v>
      </c>
      <c r="AQ222" s="314">
        <v>735</v>
      </c>
      <c r="AR222" s="314">
        <v>735</v>
      </c>
      <c r="AS222" s="314">
        <v>735</v>
      </c>
      <c r="AT222" s="314">
        <v>735</v>
      </c>
      <c r="AU222" s="313"/>
    </row>
    <row r="223" spans="22:47" x14ac:dyDescent="0.25">
      <c r="V223" s="312"/>
      <c r="W223" s="109" t="s">
        <v>289</v>
      </c>
      <c r="AA223"/>
      <c r="AC223" s="314">
        <v>840</v>
      </c>
      <c r="AD223" s="314">
        <v>840</v>
      </c>
      <c r="AE223" s="314">
        <v>840</v>
      </c>
      <c r="AF223"/>
      <c r="AG223" s="314">
        <v>840</v>
      </c>
      <c r="AH223" s="314">
        <v>840</v>
      </c>
      <c r="AI223" s="314">
        <v>840</v>
      </c>
      <c r="AJ223" s="314">
        <v>840</v>
      </c>
      <c r="AK223"/>
      <c r="AL223" s="314">
        <v>840</v>
      </c>
      <c r="AM223" s="314">
        <v>840</v>
      </c>
      <c r="AN223" s="314">
        <v>840</v>
      </c>
      <c r="AO223" s="314">
        <v>840</v>
      </c>
      <c r="AQ223" s="314">
        <v>840</v>
      </c>
      <c r="AR223" s="314">
        <v>840</v>
      </c>
      <c r="AS223" s="314">
        <v>840</v>
      </c>
      <c r="AT223" s="314">
        <v>840</v>
      </c>
      <c r="AU223" s="313"/>
    </row>
    <row r="224" spans="22:47" x14ac:dyDescent="0.25">
      <c r="V224" s="312"/>
      <c r="W224" s="109" t="s">
        <v>290</v>
      </c>
      <c r="AA224"/>
      <c r="AC224" s="314">
        <v>158</v>
      </c>
      <c r="AD224" s="314">
        <v>158</v>
      </c>
      <c r="AE224" s="314">
        <v>158</v>
      </c>
      <c r="AF224"/>
      <c r="AG224" s="314">
        <v>158</v>
      </c>
      <c r="AH224" s="314">
        <v>158</v>
      </c>
      <c r="AI224" s="314">
        <v>158</v>
      </c>
      <c r="AJ224" s="314">
        <v>158</v>
      </c>
      <c r="AK224"/>
      <c r="AL224" s="314">
        <v>158</v>
      </c>
      <c r="AM224" s="314">
        <v>158</v>
      </c>
      <c r="AN224" s="314">
        <v>158</v>
      </c>
      <c r="AO224" s="314">
        <v>158</v>
      </c>
      <c r="AQ224" s="314">
        <v>158</v>
      </c>
      <c r="AR224" s="314">
        <v>158</v>
      </c>
      <c r="AS224" s="314">
        <v>158</v>
      </c>
      <c r="AT224" s="314">
        <v>158</v>
      </c>
      <c r="AU224" s="313"/>
    </row>
    <row r="225" spans="22:47" x14ac:dyDescent="0.25">
      <c r="V225" s="312"/>
      <c r="W225" s="109" t="s">
        <v>291</v>
      </c>
      <c r="AA225"/>
      <c r="AC225" s="314">
        <v>1000</v>
      </c>
      <c r="AD225" s="314">
        <v>1000</v>
      </c>
      <c r="AE225" s="314">
        <v>1000</v>
      </c>
      <c r="AF225"/>
      <c r="AG225" s="314">
        <v>1000</v>
      </c>
      <c r="AH225" s="314">
        <v>1000</v>
      </c>
      <c r="AI225" s="314">
        <v>1000</v>
      </c>
      <c r="AJ225" s="314">
        <v>1000</v>
      </c>
      <c r="AK225"/>
      <c r="AL225" s="314">
        <v>1000</v>
      </c>
      <c r="AM225" s="314">
        <v>1000</v>
      </c>
      <c r="AN225" s="314">
        <v>1000</v>
      </c>
      <c r="AO225" s="314">
        <v>1000</v>
      </c>
      <c r="AQ225" s="314">
        <v>1000</v>
      </c>
      <c r="AR225" s="314">
        <v>1000</v>
      </c>
      <c r="AS225" s="314">
        <v>1000</v>
      </c>
      <c r="AT225" s="314">
        <v>1000</v>
      </c>
      <c r="AU225" s="313"/>
    </row>
    <row r="226" spans="22:47" x14ac:dyDescent="0.25">
      <c r="V226" s="312"/>
      <c r="W226" s="109"/>
      <c r="AA226"/>
      <c r="AE226" s="55"/>
      <c r="AF226"/>
      <c r="AK226"/>
      <c r="AU226" s="313"/>
    </row>
    <row r="227" spans="22:47" x14ac:dyDescent="0.25">
      <c r="V227" s="312"/>
      <c r="W227" s="272" t="s">
        <v>292</v>
      </c>
      <c r="AA227"/>
      <c r="AE227" s="55"/>
      <c r="AF227"/>
      <c r="AK227"/>
      <c r="AU227" s="313"/>
    </row>
    <row r="228" spans="22:47" x14ac:dyDescent="0.25">
      <c r="V228" s="312"/>
      <c r="W228" s="109" t="s">
        <v>274</v>
      </c>
      <c r="AA228"/>
      <c r="AC228" s="308">
        <v>1.1379999999999999E-2</v>
      </c>
      <c r="AD228" s="308">
        <v>1.1379999999999999E-2</v>
      </c>
      <c r="AE228" s="308">
        <v>1.1379999999999999E-2</v>
      </c>
      <c r="AF228"/>
      <c r="AG228" s="308">
        <v>1.1379999999999999E-2</v>
      </c>
      <c r="AH228" s="308">
        <v>1.1379999999999999E-2</v>
      </c>
      <c r="AI228" s="308">
        <v>1.1379999999999999E-2</v>
      </c>
      <c r="AJ228" s="308">
        <v>1.1379999999999999E-2</v>
      </c>
      <c r="AK228"/>
      <c r="AL228" s="308">
        <v>1.1379999999999999E-2</v>
      </c>
      <c r="AM228" s="308">
        <v>1.1379999999999999E-2</v>
      </c>
      <c r="AN228" s="308">
        <v>1.1379999999999999E-2</v>
      </c>
      <c r="AO228" s="308">
        <v>1.1379999999999999E-2</v>
      </c>
      <c r="AQ228" s="308">
        <v>1.1379999999999999E-2</v>
      </c>
      <c r="AR228" s="308">
        <v>1.1379999999999999E-2</v>
      </c>
      <c r="AS228" s="308">
        <v>1.1379999999999999E-2</v>
      </c>
      <c r="AT228" s="308">
        <v>1.1379999999999999E-2</v>
      </c>
      <c r="AU228" s="313"/>
    </row>
    <row r="229" spans="22:47" x14ac:dyDescent="0.25">
      <c r="V229" s="312"/>
      <c r="W229" s="109" t="s">
        <v>275</v>
      </c>
      <c r="AA229"/>
      <c r="AC229" s="308">
        <v>2.112E-2</v>
      </c>
      <c r="AD229" s="308">
        <v>2.112E-2</v>
      </c>
      <c r="AE229" s="308">
        <v>2.112E-2</v>
      </c>
      <c r="AF229"/>
      <c r="AG229" s="308">
        <v>2.112E-2</v>
      </c>
      <c r="AH229" s="308">
        <v>2.112E-2</v>
      </c>
      <c r="AI229" s="308">
        <v>2.112E-2</v>
      </c>
      <c r="AJ229" s="308">
        <v>2.112E-2</v>
      </c>
      <c r="AK229"/>
      <c r="AL229" s="308">
        <v>2.112E-2</v>
      </c>
      <c r="AM229" s="308">
        <v>2.112E-2</v>
      </c>
      <c r="AN229" s="308">
        <v>2.112E-2</v>
      </c>
      <c r="AO229" s="308">
        <v>2.112E-2</v>
      </c>
      <c r="AQ229" s="308">
        <v>2.112E-2</v>
      </c>
      <c r="AR229" s="308">
        <v>2.112E-2</v>
      </c>
      <c r="AS229" s="308">
        <v>2.112E-2</v>
      </c>
      <c r="AT229" s="308">
        <v>2.112E-2</v>
      </c>
      <c r="AU229" s="313"/>
    </row>
    <row r="230" spans="22:47" x14ac:dyDescent="0.25">
      <c r="V230" s="312"/>
      <c r="W230" s="109" t="s">
        <v>276</v>
      </c>
      <c r="AA230"/>
      <c r="AC230" s="308">
        <v>1.9810000000000001E-2</v>
      </c>
      <c r="AD230" s="308">
        <v>1.9810000000000001E-2</v>
      </c>
      <c r="AE230" s="308">
        <v>1.9810000000000001E-2</v>
      </c>
      <c r="AF230"/>
      <c r="AG230" s="308">
        <v>1.9810000000000001E-2</v>
      </c>
      <c r="AH230" s="308">
        <v>1.9810000000000001E-2</v>
      </c>
      <c r="AI230" s="308">
        <v>1.9810000000000001E-2</v>
      </c>
      <c r="AJ230" s="308">
        <v>1.9810000000000001E-2</v>
      </c>
      <c r="AK230"/>
      <c r="AL230" s="308">
        <v>1.9810000000000001E-2</v>
      </c>
      <c r="AM230" s="308">
        <v>1.9810000000000001E-2</v>
      </c>
      <c r="AN230" s="308">
        <v>1.9810000000000001E-2</v>
      </c>
      <c r="AO230" s="308">
        <v>1.9810000000000001E-2</v>
      </c>
      <c r="AQ230" s="308">
        <v>1.9810000000000001E-2</v>
      </c>
      <c r="AR230" s="308">
        <v>1.9810000000000001E-2</v>
      </c>
      <c r="AS230" s="308">
        <v>1.9810000000000001E-2</v>
      </c>
      <c r="AT230" s="308">
        <v>1.9810000000000001E-2</v>
      </c>
      <c r="AU230" s="313"/>
    </row>
    <row r="231" spans="22:47" x14ac:dyDescent="0.25">
      <c r="V231" s="312"/>
      <c r="W231" s="109" t="s">
        <v>277</v>
      </c>
      <c r="AA231"/>
      <c r="AC231" s="308">
        <v>3.0130000000000001E-2</v>
      </c>
      <c r="AD231" s="308">
        <v>3.0130000000000001E-2</v>
      </c>
      <c r="AE231" s="308">
        <v>3.0130000000000001E-2</v>
      </c>
      <c r="AF231"/>
      <c r="AG231" s="308">
        <v>3.0130000000000001E-2</v>
      </c>
      <c r="AH231" s="308">
        <v>3.0130000000000001E-2</v>
      </c>
      <c r="AI231" s="308">
        <v>3.0130000000000001E-2</v>
      </c>
      <c r="AJ231" s="308">
        <v>3.0130000000000001E-2</v>
      </c>
      <c r="AK231"/>
      <c r="AL231" s="308">
        <v>3.0130000000000001E-2</v>
      </c>
      <c r="AM231" s="308">
        <v>3.0130000000000001E-2</v>
      </c>
      <c r="AN231" s="308">
        <v>3.0130000000000001E-2</v>
      </c>
      <c r="AO231" s="308">
        <v>3.0130000000000001E-2</v>
      </c>
      <c r="AQ231" s="308">
        <v>3.0130000000000001E-2</v>
      </c>
      <c r="AR231" s="308">
        <v>3.0130000000000001E-2</v>
      </c>
      <c r="AS231" s="308">
        <v>3.0130000000000001E-2</v>
      </c>
      <c r="AT231" s="308">
        <v>3.0130000000000001E-2</v>
      </c>
      <c r="AU231" s="313"/>
    </row>
    <row r="232" spans="22:47" x14ac:dyDescent="0.25">
      <c r="V232" s="312"/>
      <c r="W232" s="109" t="s">
        <v>278</v>
      </c>
      <c r="AA232"/>
      <c r="AC232" s="308">
        <v>3.4200000000000001E-2</v>
      </c>
      <c r="AD232" s="308">
        <v>3.4200000000000001E-2</v>
      </c>
      <c r="AE232" s="308">
        <v>3.4200000000000001E-2</v>
      </c>
      <c r="AF232"/>
      <c r="AG232" s="308">
        <v>3.4200000000000001E-2</v>
      </c>
      <c r="AH232" s="308">
        <v>3.4200000000000001E-2</v>
      </c>
      <c r="AI232" s="308">
        <v>3.4200000000000001E-2</v>
      </c>
      <c r="AJ232" s="308">
        <v>3.4200000000000001E-2</v>
      </c>
      <c r="AK232"/>
      <c r="AL232" s="308">
        <v>3.4200000000000001E-2</v>
      </c>
      <c r="AM232" s="308">
        <v>3.4200000000000001E-2</v>
      </c>
      <c r="AN232" s="308">
        <v>3.4200000000000001E-2</v>
      </c>
      <c r="AO232" s="308">
        <v>3.4200000000000001E-2</v>
      </c>
      <c r="AQ232" s="308">
        <v>3.4200000000000001E-2</v>
      </c>
      <c r="AR232" s="308">
        <v>3.4200000000000001E-2</v>
      </c>
      <c r="AS232" s="308">
        <v>3.4200000000000001E-2</v>
      </c>
      <c r="AT232" s="308">
        <v>3.4200000000000001E-2</v>
      </c>
      <c r="AU232" s="313"/>
    </row>
    <row r="233" spans="22:47" x14ac:dyDescent="0.25">
      <c r="V233" s="312"/>
      <c r="W233" s="109" t="s">
        <v>279</v>
      </c>
      <c r="AA233"/>
      <c r="AC233" s="308">
        <v>3.4299999999999997E-2</v>
      </c>
      <c r="AD233" s="308">
        <v>3.4299999999999997E-2</v>
      </c>
      <c r="AE233" s="308">
        <v>3.4299999999999997E-2</v>
      </c>
      <c r="AF233"/>
      <c r="AG233" s="308">
        <v>3.4299999999999997E-2</v>
      </c>
      <c r="AH233" s="308">
        <v>3.4299999999999997E-2</v>
      </c>
      <c r="AI233" s="308">
        <v>3.4299999999999997E-2</v>
      </c>
      <c r="AJ233" s="308">
        <v>3.4299999999999997E-2</v>
      </c>
      <c r="AK233"/>
      <c r="AL233" s="308">
        <v>3.4299999999999997E-2</v>
      </c>
      <c r="AM233" s="308">
        <v>3.4299999999999997E-2</v>
      </c>
      <c r="AN233" s="308">
        <v>3.4299999999999997E-2</v>
      </c>
      <c r="AO233" s="308">
        <v>3.4299999999999997E-2</v>
      </c>
      <c r="AQ233" s="308">
        <v>3.4299999999999997E-2</v>
      </c>
      <c r="AR233" s="308">
        <v>3.4299999999999997E-2</v>
      </c>
      <c r="AS233" s="308">
        <v>3.4299999999999997E-2</v>
      </c>
      <c r="AT233" s="308">
        <v>3.4299999999999997E-2</v>
      </c>
      <c r="AU233" s="313"/>
    </row>
    <row r="234" spans="22:47" x14ac:dyDescent="0.25">
      <c r="V234" s="312"/>
      <c r="W234" s="109" t="s">
        <v>280</v>
      </c>
      <c r="AA234"/>
      <c r="AC234" s="308">
        <v>3.8960000000000002E-2</v>
      </c>
      <c r="AD234" s="308">
        <v>3.8960000000000002E-2</v>
      </c>
      <c r="AE234" s="308">
        <v>3.8960000000000002E-2</v>
      </c>
      <c r="AF234"/>
      <c r="AG234" s="308">
        <v>3.8960000000000002E-2</v>
      </c>
      <c r="AH234" s="308">
        <v>3.8960000000000002E-2</v>
      </c>
      <c r="AI234" s="308">
        <v>3.8960000000000002E-2</v>
      </c>
      <c r="AJ234" s="308">
        <v>3.8960000000000002E-2</v>
      </c>
      <c r="AK234"/>
      <c r="AL234" s="308">
        <v>3.8960000000000002E-2</v>
      </c>
      <c r="AM234" s="308">
        <v>3.8960000000000002E-2</v>
      </c>
      <c r="AN234" s="308">
        <v>3.8960000000000002E-2</v>
      </c>
      <c r="AO234" s="308">
        <v>3.8960000000000002E-2</v>
      </c>
      <c r="AQ234" s="308">
        <v>3.8960000000000002E-2</v>
      </c>
      <c r="AR234" s="308">
        <v>3.8960000000000002E-2</v>
      </c>
      <c r="AS234" s="308">
        <v>3.8960000000000002E-2</v>
      </c>
      <c r="AT234" s="308">
        <v>3.8960000000000002E-2</v>
      </c>
      <c r="AU234" s="313"/>
    </row>
    <row r="235" spans="22:47" x14ac:dyDescent="0.25">
      <c r="V235" s="312"/>
      <c r="W235" s="109" t="s">
        <v>281</v>
      </c>
      <c r="AA235"/>
      <c r="AC235" s="308">
        <v>3.0300000000000001E-2</v>
      </c>
      <c r="AD235" s="308">
        <v>3.0300000000000001E-2</v>
      </c>
      <c r="AE235" s="308">
        <v>3.0300000000000001E-2</v>
      </c>
      <c r="AF235"/>
      <c r="AG235" s="308">
        <v>3.0300000000000001E-2</v>
      </c>
      <c r="AH235" s="308">
        <v>3.0300000000000001E-2</v>
      </c>
      <c r="AI235" s="308">
        <v>3.0300000000000001E-2</v>
      </c>
      <c r="AJ235" s="308">
        <v>3.0300000000000001E-2</v>
      </c>
      <c r="AK235"/>
      <c r="AL235" s="308">
        <v>3.0300000000000001E-2</v>
      </c>
      <c r="AM235" s="308">
        <v>3.0300000000000001E-2</v>
      </c>
      <c r="AN235" s="308">
        <v>3.0300000000000001E-2</v>
      </c>
      <c r="AO235" s="308">
        <v>3.0300000000000001E-2</v>
      </c>
      <c r="AQ235" s="308">
        <v>3.0300000000000001E-2</v>
      </c>
      <c r="AR235" s="308">
        <v>3.0300000000000001E-2</v>
      </c>
      <c r="AS235" s="308">
        <v>3.0300000000000001E-2</v>
      </c>
      <c r="AT235" s="308">
        <v>3.0300000000000001E-2</v>
      </c>
      <c r="AU235" s="313"/>
    </row>
    <row r="236" spans="22:47" x14ac:dyDescent="0.25">
      <c r="V236" s="312"/>
      <c r="W236" s="109" t="s">
        <v>282</v>
      </c>
      <c r="AA236"/>
      <c r="AC236" s="308">
        <v>3.6889999999999999E-2</v>
      </c>
      <c r="AD236" s="308">
        <v>3.6889999999999999E-2</v>
      </c>
      <c r="AE236" s="308">
        <v>3.6889999999999999E-2</v>
      </c>
      <c r="AF236"/>
      <c r="AG236" s="308">
        <v>3.6889999999999999E-2</v>
      </c>
      <c r="AH236" s="308">
        <v>3.6889999999999999E-2</v>
      </c>
      <c r="AI236" s="308">
        <v>3.6889999999999999E-2</v>
      </c>
      <c r="AJ236" s="308">
        <v>3.6889999999999999E-2</v>
      </c>
      <c r="AK236"/>
      <c r="AL236" s="308">
        <v>3.6889999999999999E-2</v>
      </c>
      <c r="AM236" s="308">
        <v>3.6889999999999999E-2</v>
      </c>
      <c r="AN236" s="308">
        <v>3.6889999999999999E-2</v>
      </c>
      <c r="AO236" s="308">
        <v>3.6889999999999999E-2</v>
      </c>
      <c r="AQ236" s="308">
        <v>3.6889999999999999E-2</v>
      </c>
      <c r="AR236" s="308">
        <v>3.6889999999999999E-2</v>
      </c>
      <c r="AS236" s="308">
        <v>3.6889999999999999E-2</v>
      </c>
      <c r="AT236" s="308">
        <v>3.6889999999999999E-2</v>
      </c>
      <c r="AU236" s="313"/>
    </row>
    <row r="237" spans="22:47" x14ac:dyDescent="0.25">
      <c r="V237" s="312"/>
      <c r="W237" s="109" t="s">
        <v>283</v>
      </c>
      <c r="AA237"/>
      <c r="AC237" s="308">
        <v>2.147E-2</v>
      </c>
      <c r="AD237" s="308">
        <v>2.147E-2</v>
      </c>
      <c r="AE237" s="308">
        <v>2.147E-2</v>
      </c>
      <c r="AF237"/>
      <c r="AG237" s="308">
        <v>2.147E-2</v>
      </c>
      <c r="AH237" s="308">
        <v>2.147E-2</v>
      </c>
      <c r="AI237" s="308">
        <v>2.147E-2</v>
      </c>
      <c r="AJ237" s="308">
        <v>2.147E-2</v>
      </c>
      <c r="AK237"/>
      <c r="AL237" s="308">
        <v>2.147E-2</v>
      </c>
      <c r="AM237" s="308">
        <v>2.147E-2</v>
      </c>
      <c r="AN237" s="308">
        <v>2.147E-2</v>
      </c>
      <c r="AO237" s="308">
        <v>2.147E-2</v>
      </c>
      <c r="AQ237" s="308">
        <v>2.147E-2</v>
      </c>
      <c r="AR237" s="308">
        <v>2.147E-2</v>
      </c>
      <c r="AS237" s="308">
        <v>2.147E-2</v>
      </c>
      <c r="AT237" s="308">
        <v>2.147E-2</v>
      </c>
      <c r="AU237" s="313"/>
    </row>
    <row r="238" spans="22:47" x14ac:dyDescent="0.25">
      <c r="V238" s="312"/>
      <c r="W238" s="109" t="s">
        <v>284</v>
      </c>
      <c r="AA238"/>
      <c r="AC238" s="308">
        <v>3.5979999999999998E-2</v>
      </c>
      <c r="AD238" s="308">
        <v>3.5979999999999998E-2</v>
      </c>
      <c r="AE238" s="308">
        <v>3.5979999999999998E-2</v>
      </c>
      <c r="AF238"/>
      <c r="AG238" s="308">
        <v>3.5979999999999998E-2</v>
      </c>
      <c r="AH238" s="308">
        <v>3.5979999999999998E-2</v>
      </c>
      <c r="AI238" s="308">
        <v>3.5979999999999998E-2</v>
      </c>
      <c r="AJ238" s="308">
        <v>3.5979999999999998E-2</v>
      </c>
      <c r="AK238"/>
      <c r="AL238" s="308">
        <v>3.5979999999999998E-2</v>
      </c>
      <c r="AM238" s="308">
        <v>3.5979999999999998E-2</v>
      </c>
      <c r="AN238" s="308">
        <v>3.5979999999999998E-2</v>
      </c>
      <c r="AO238" s="308">
        <v>3.5979999999999998E-2</v>
      </c>
      <c r="AQ238" s="308">
        <v>3.5979999999999998E-2</v>
      </c>
      <c r="AR238" s="308">
        <v>3.5979999999999998E-2</v>
      </c>
      <c r="AS238" s="308">
        <v>3.5979999999999998E-2</v>
      </c>
      <c r="AT238" s="308">
        <v>3.5979999999999998E-2</v>
      </c>
      <c r="AU238" s="313"/>
    </row>
    <row r="239" spans="22:47" x14ac:dyDescent="0.25">
      <c r="V239" s="312"/>
      <c r="W239" s="109" t="s">
        <v>285</v>
      </c>
      <c r="AA239"/>
      <c r="AC239" s="308">
        <v>3.9899999999999998E-2</v>
      </c>
      <c r="AD239" s="308">
        <v>3.9899999999999998E-2</v>
      </c>
      <c r="AE239" s="308">
        <v>3.9899999999999998E-2</v>
      </c>
      <c r="AF239"/>
      <c r="AG239" s="308">
        <v>3.9899999999999998E-2</v>
      </c>
      <c r="AH239" s="308">
        <v>3.9899999999999998E-2</v>
      </c>
      <c r="AI239" s="308">
        <v>3.9899999999999998E-2</v>
      </c>
      <c r="AJ239" s="308">
        <v>3.9899999999999998E-2</v>
      </c>
      <c r="AK239"/>
      <c r="AL239" s="308">
        <v>3.9899999999999998E-2</v>
      </c>
      <c r="AM239" s="308">
        <v>3.9899999999999998E-2</v>
      </c>
      <c r="AN239" s="308">
        <v>3.9899999999999998E-2</v>
      </c>
      <c r="AO239" s="308">
        <v>3.9899999999999998E-2</v>
      </c>
      <c r="AQ239" s="308">
        <v>3.9899999999999998E-2</v>
      </c>
      <c r="AR239" s="308">
        <v>3.9899999999999998E-2</v>
      </c>
      <c r="AS239" s="308">
        <v>3.9899999999999998E-2</v>
      </c>
      <c r="AT239" s="308">
        <v>3.9899999999999998E-2</v>
      </c>
      <c r="AU239" s="313"/>
    </row>
    <row r="240" spans="22:47" x14ac:dyDescent="0.25">
      <c r="V240" s="312"/>
      <c r="W240" s="109" t="s">
        <v>286</v>
      </c>
      <c r="AA240"/>
      <c r="AC240" s="308">
        <v>3.0439999999999998E-2</v>
      </c>
      <c r="AD240" s="308">
        <v>3.0439999999999998E-2</v>
      </c>
      <c r="AE240" s="308">
        <v>3.0439999999999998E-2</v>
      </c>
      <c r="AF240"/>
      <c r="AG240" s="308">
        <v>3.0439999999999998E-2</v>
      </c>
      <c r="AH240" s="308">
        <v>3.0439999999999998E-2</v>
      </c>
      <c r="AI240" s="308">
        <v>3.0439999999999998E-2</v>
      </c>
      <c r="AJ240" s="308">
        <v>3.0439999999999998E-2</v>
      </c>
      <c r="AK240"/>
      <c r="AL240" s="308">
        <v>3.0439999999999998E-2</v>
      </c>
      <c r="AM240" s="308">
        <v>3.0439999999999998E-2</v>
      </c>
      <c r="AN240" s="308">
        <v>3.0439999999999998E-2</v>
      </c>
      <c r="AO240" s="308">
        <v>3.0439999999999998E-2</v>
      </c>
      <c r="AQ240" s="308">
        <v>3.0439999999999998E-2</v>
      </c>
      <c r="AR240" s="308">
        <v>3.0439999999999998E-2</v>
      </c>
      <c r="AS240" s="308">
        <v>3.0439999999999998E-2</v>
      </c>
      <c r="AT240" s="308">
        <v>3.0439999999999998E-2</v>
      </c>
      <c r="AU240" s="313"/>
    </row>
    <row r="241" spans="22:47" x14ac:dyDescent="0.25">
      <c r="V241" s="312"/>
      <c r="W241" s="109" t="s">
        <v>287</v>
      </c>
      <c r="AA241"/>
      <c r="AC241" s="308">
        <v>3.8929999999999999E-2</v>
      </c>
      <c r="AD241" s="308">
        <v>3.8929999999999999E-2</v>
      </c>
      <c r="AE241" s="308">
        <v>3.8929999999999999E-2</v>
      </c>
      <c r="AF241"/>
      <c r="AG241" s="308">
        <v>3.8929999999999999E-2</v>
      </c>
      <c r="AH241" s="308">
        <v>3.8929999999999999E-2</v>
      </c>
      <c r="AI241" s="308">
        <v>3.8929999999999999E-2</v>
      </c>
      <c r="AJ241" s="308">
        <v>3.8929999999999999E-2</v>
      </c>
      <c r="AK241"/>
      <c r="AL241" s="308">
        <v>3.8929999999999999E-2</v>
      </c>
      <c r="AM241" s="308">
        <v>3.8929999999999999E-2</v>
      </c>
      <c r="AN241" s="308">
        <v>3.8929999999999999E-2</v>
      </c>
      <c r="AO241" s="308">
        <v>3.8929999999999999E-2</v>
      </c>
      <c r="AQ241" s="308">
        <v>3.8929999999999999E-2</v>
      </c>
      <c r="AR241" s="308">
        <v>3.8929999999999999E-2</v>
      </c>
      <c r="AS241" s="308">
        <v>3.8929999999999999E-2</v>
      </c>
      <c r="AT241" s="308">
        <v>3.8929999999999999E-2</v>
      </c>
      <c r="AU241" s="313"/>
    </row>
    <row r="242" spans="22:47" x14ac:dyDescent="0.25">
      <c r="V242" s="312"/>
      <c r="W242" s="109" t="s">
        <v>288</v>
      </c>
      <c r="AA242"/>
      <c r="AC242" s="308">
        <v>1.265E-2</v>
      </c>
      <c r="AD242" s="308">
        <v>1.265E-2</v>
      </c>
      <c r="AE242" s="308">
        <v>1.265E-2</v>
      </c>
      <c r="AF242"/>
      <c r="AG242" s="308">
        <v>1.265E-2</v>
      </c>
      <c r="AH242" s="308">
        <v>1.265E-2</v>
      </c>
      <c r="AI242" s="308">
        <v>1.265E-2</v>
      </c>
      <c r="AJ242" s="308">
        <v>1.265E-2</v>
      </c>
      <c r="AK242"/>
      <c r="AL242" s="308">
        <v>1.265E-2</v>
      </c>
      <c r="AM242" s="308">
        <v>1.265E-2</v>
      </c>
      <c r="AN242" s="308">
        <v>1.265E-2</v>
      </c>
      <c r="AO242" s="308">
        <v>1.265E-2</v>
      </c>
      <c r="AQ242" s="308">
        <v>1.265E-2</v>
      </c>
      <c r="AR242" s="308">
        <v>1.265E-2</v>
      </c>
      <c r="AS242" s="308">
        <v>1.265E-2</v>
      </c>
      <c r="AT242" s="308">
        <v>1.265E-2</v>
      </c>
      <c r="AU242" s="313"/>
    </row>
    <row r="243" spans="22:47" x14ac:dyDescent="0.25">
      <c r="V243" s="312"/>
      <c r="W243" s="109" t="s">
        <v>289</v>
      </c>
      <c r="AA243"/>
      <c r="AC243" s="308">
        <v>2.189E-2</v>
      </c>
      <c r="AD243" s="308">
        <v>2.189E-2</v>
      </c>
      <c r="AE243" s="308">
        <v>2.189E-2</v>
      </c>
      <c r="AF243"/>
      <c r="AG243" s="308">
        <v>2.189E-2</v>
      </c>
      <c r="AH243" s="308">
        <v>2.189E-2</v>
      </c>
      <c r="AI243" s="308">
        <v>2.189E-2</v>
      </c>
      <c r="AJ243" s="308">
        <v>2.189E-2</v>
      </c>
      <c r="AK243"/>
      <c r="AL243" s="308">
        <v>2.189E-2</v>
      </c>
      <c r="AM243" s="308">
        <v>2.189E-2</v>
      </c>
      <c r="AN243" s="308">
        <v>2.189E-2</v>
      </c>
      <c r="AO243" s="308">
        <v>2.189E-2</v>
      </c>
      <c r="AQ243" s="308">
        <v>2.189E-2</v>
      </c>
      <c r="AR243" s="308">
        <v>2.189E-2</v>
      </c>
      <c r="AS243" s="308">
        <v>2.189E-2</v>
      </c>
      <c r="AT243" s="308">
        <v>2.189E-2</v>
      </c>
      <c r="AU243" s="313"/>
    </row>
    <row r="244" spans="22:47" x14ac:dyDescent="0.25">
      <c r="V244" s="312"/>
      <c r="W244" s="109" t="s">
        <v>290</v>
      </c>
      <c r="AA244"/>
      <c r="AC244" s="308">
        <v>2.562E-2</v>
      </c>
      <c r="AD244" s="308">
        <v>2.562E-2</v>
      </c>
      <c r="AE244" s="308">
        <v>2.562E-2</v>
      </c>
      <c r="AF244"/>
      <c r="AG244" s="308">
        <v>2.562E-2</v>
      </c>
      <c r="AH244" s="308">
        <v>2.562E-2</v>
      </c>
      <c r="AI244" s="308">
        <v>2.562E-2</v>
      </c>
      <c r="AJ244" s="308">
        <v>2.562E-2</v>
      </c>
      <c r="AK244"/>
      <c r="AL244" s="308">
        <v>2.562E-2</v>
      </c>
      <c r="AM244" s="308">
        <v>2.562E-2</v>
      </c>
      <c r="AN244" s="308">
        <v>2.562E-2</v>
      </c>
      <c r="AO244" s="308">
        <v>2.562E-2</v>
      </c>
      <c r="AQ244" s="308">
        <v>2.562E-2</v>
      </c>
      <c r="AR244" s="308">
        <v>2.562E-2</v>
      </c>
      <c r="AS244" s="308">
        <v>2.562E-2</v>
      </c>
      <c r="AT244" s="308">
        <v>2.562E-2</v>
      </c>
      <c r="AU244" s="313"/>
    </row>
    <row r="245" spans="22:47" x14ac:dyDescent="0.25">
      <c r="V245" s="312"/>
      <c r="W245" s="109" t="s">
        <v>291</v>
      </c>
      <c r="AA245"/>
      <c r="AC245" s="308">
        <v>3.4840000000000003E-2</v>
      </c>
      <c r="AD245" s="308">
        <v>3.4840000000000003E-2</v>
      </c>
      <c r="AE245" s="308">
        <v>3.4840000000000003E-2</v>
      </c>
      <c r="AF245"/>
      <c r="AG245" s="308">
        <v>3.4840000000000003E-2</v>
      </c>
      <c r="AH245" s="308">
        <v>3.4840000000000003E-2</v>
      </c>
      <c r="AI245" s="308">
        <v>3.4840000000000003E-2</v>
      </c>
      <c r="AJ245" s="308">
        <v>3.4840000000000003E-2</v>
      </c>
      <c r="AK245"/>
      <c r="AL245" s="308">
        <v>3.4840000000000003E-2</v>
      </c>
      <c r="AM245" s="308">
        <v>3.4840000000000003E-2</v>
      </c>
      <c r="AN245" s="308">
        <v>3.4840000000000003E-2</v>
      </c>
      <c r="AO245" s="308">
        <v>3.4840000000000003E-2</v>
      </c>
      <c r="AQ245" s="308">
        <v>3.4840000000000003E-2</v>
      </c>
      <c r="AR245" s="308">
        <v>3.4840000000000003E-2</v>
      </c>
      <c r="AS245" s="308">
        <v>3.4840000000000003E-2</v>
      </c>
      <c r="AT245" s="308">
        <v>3.4840000000000003E-2</v>
      </c>
      <c r="AU245" s="313"/>
    </row>
    <row r="246" spans="22:47" x14ac:dyDescent="0.25">
      <c r="V246" s="312"/>
      <c r="W246" s="109"/>
      <c r="AA246"/>
      <c r="AF246"/>
      <c r="AK246"/>
      <c r="AU246" s="313"/>
    </row>
    <row r="247" spans="22:47" x14ac:dyDescent="0.25">
      <c r="V247" s="312"/>
      <c r="W247" s="272" t="s">
        <v>293</v>
      </c>
      <c r="AA247"/>
      <c r="AF247"/>
      <c r="AK247"/>
      <c r="AU247" s="313"/>
    </row>
    <row r="248" spans="22:47" x14ac:dyDescent="0.25">
      <c r="V248" s="312"/>
      <c r="W248" s="109" t="s">
        <v>274</v>
      </c>
      <c r="AA248"/>
      <c r="AC248" s="315">
        <f>(AC208*AC228/4)*AC$206</f>
        <v>2.3763716000000001</v>
      </c>
      <c r="AD248" s="315">
        <f t="shared" ref="AD248:AE248" si="396">(AD208*AD228/4)*AD$206</f>
        <v>2.2642785999999999</v>
      </c>
      <c r="AE248" s="315">
        <f t="shared" si="396"/>
        <v>2.1297669999999997</v>
      </c>
      <c r="AF248" s="315"/>
      <c r="AG248" s="315">
        <f t="shared" ref="AG248:AG261" si="397">(AG208*AG228/4)*AG$206</f>
        <v>2.1970228000000001</v>
      </c>
      <c r="AH248" s="315">
        <f t="shared" ref="AH248:AJ248" si="398">(AH208*AH228/4)*AH$206</f>
        <v>2.1970228000000001</v>
      </c>
      <c r="AI248" s="315">
        <f t="shared" si="398"/>
        <v>2.1970228000000001</v>
      </c>
      <c r="AJ248" s="315">
        <f t="shared" si="398"/>
        <v>2.1970228000000001</v>
      </c>
      <c r="AK248"/>
      <c r="AL248" s="315">
        <f>(AL208*AL228/4)*AL$206</f>
        <v>2.24186</v>
      </c>
      <c r="AM248" s="315">
        <f t="shared" ref="AM248:AO248" si="399">(AM208*AM228/4)*AM$206</f>
        <v>2.24186</v>
      </c>
      <c r="AN248" s="315">
        <f t="shared" si="399"/>
        <v>2.24186</v>
      </c>
      <c r="AO248" s="315">
        <f t="shared" si="399"/>
        <v>2.24186</v>
      </c>
      <c r="AQ248" s="315">
        <f>(AQ208*AQ228/4)*AQ$206</f>
        <v>2.24186</v>
      </c>
      <c r="AR248" s="315">
        <f t="shared" ref="AR248:AT248" si="400">(AR208*AR228/4)*AR$206</f>
        <v>2.24186</v>
      </c>
      <c r="AS248" s="315">
        <f t="shared" si="400"/>
        <v>2.24186</v>
      </c>
      <c r="AT248" s="315">
        <f t="shared" si="400"/>
        <v>2.24186</v>
      </c>
      <c r="AU248" s="313"/>
    </row>
    <row r="249" spans="22:47" x14ac:dyDescent="0.25">
      <c r="V249" s="312"/>
      <c r="W249" s="109" t="s">
        <v>275</v>
      </c>
      <c r="AA249"/>
      <c r="AC249" s="315">
        <f t="shared" ref="AC249:AE249" si="401">(AC209*AC229/4)*AC$206</f>
        <v>4.1976000000000004</v>
      </c>
      <c r="AD249" s="315">
        <f t="shared" si="401"/>
        <v>3.9996</v>
      </c>
      <c r="AE249" s="315">
        <f t="shared" si="401"/>
        <v>3.762</v>
      </c>
      <c r="AF249" s="315"/>
      <c r="AG249" s="315">
        <f t="shared" si="397"/>
        <v>3.8807999999999998</v>
      </c>
      <c r="AH249" s="315">
        <f t="shared" ref="AH249:AJ261" si="402">(AH209*AH229/4)*AH$206</f>
        <v>3.8807999999999998</v>
      </c>
      <c r="AI249" s="315">
        <f t="shared" si="402"/>
        <v>3.8807999999999998</v>
      </c>
      <c r="AJ249" s="315">
        <f t="shared" si="402"/>
        <v>3.8807999999999998</v>
      </c>
      <c r="AK249"/>
      <c r="AL249" s="315">
        <f t="shared" ref="AL249:AO249" si="403">(AL209*AL229/4)*AL$206</f>
        <v>3.96</v>
      </c>
      <c r="AM249" s="315">
        <f t="shared" si="403"/>
        <v>3.96</v>
      </c>
      <c r="AN249" s="315">
        <f t="shared" si="403"/>
        <v>3.96</v>
      </c>
      <c r="AO249" s="315">
        <f t="shared" si="403"/>
        <v>3.96</v>
      </c>
      <c r="AQ249" s="315">
        <f t="shared" ref="AQ249:AT249" si="404">(AQ209*AQ229/4)*AQ$206</f>
        <v>3.96</v>
      </c>
      <c r="AR249" s="315">
        <f t="shared" si="404"/>
        <v>3.96</v>
      </c>
      <c r="AS249" s="315">
        <f t="shared" si="404"/>
        <v>3.96</v>
      </c>
      <c r="AT249" s="315">
        <f t="shared" si="404"/>
        <v>3.96</v>
      </c>
      <c r="AU249" s="313"/>
    </row>
    <row r="250" spans="22:47" x14ac:dyDescent="0.25">
      <c r="V250" s="312"/>
      <c r="W250" s="109" t="s">
        <v>276</v>
      </c>
      <c r="AA250"/>
      <c r="AC250" s="315">
        <f t="shared" ref="AC250:AE250" si="405">(AC210*AC230/4)*AC$206</f>
        <v>3.1497900000000003</v>
      </c>
      <c r="AD250" s="315">
        <f t="shared" si="405"/>
        <v>3.0012150000000002</v>
      </c>
      <c r="AE250" s="315">
        <f t="shared" si="405"/>
        <v>2.8229250000000001</v>
      </c>
      <c r="AF250" s="315"/>
      <c r="AG250" s="315">
        <f t="shared" si="397"/>
        <v>2.9120700000000004</v>
      </c>
      <c r="AH250" s="315">
        <f t="shared" si="402"/>
        <v>2.9120700000000004</v>
      </c>
      <c r="AI250" s="315">
        <f t="shared" si="402"/>
        <v>2.9120700000000004</v>
      </c>
      <c r="AJ250" s="315">
        <f t="shared" si="402"/>
        <v>2.9120700000000004</v>
      </c>
      <c r="AK250"/>
      <c r="AL250" s="315">
        <f t="shared" ref="AL250:AO250" si="406">(AL210*AL230/4)*AL$206</f>
        <v>2.9715000000000003</v>
      </c>
      <c r="AM250" s="315">
        <f t="shared" si="406"/>
        <v>2.9715000000000003</v>
      </c>
      <c r="AN250" s="315">
        <f t="shared" si="406"/>
        <v>2.9715000000000003</v>
      </c>
      <c r="AO250" s="315">
        <f t="shared" si="406"/>
        <v>2.9715000000000003</v>
      </c>
      <c r="AQ250" s="315">
        <f t="shared" ref="AQ250:AT250" si="407">(AQ210*AQ230/4)*AQ$206</f>
        <v>2.9715000000000003</v>
      </c>
      <c r="AR250" s="315">
        <f t="shared" si="407"/>
        <v>2.9715000000000003</v>
      </c>
      <c r="AS250" s="315">
        <f t="shared" si="407"/>
        <v>2.9715000000000003</v>
      </c>
      <c r="AT250" s="315">
        <f t="shared" si="407"/>
        <v>2.9715000000000003</v>
      </c>
      <c r="AU250" s="313"/>
    </row>
    <row r="251" spans="22:47" x14ac:dyDescent="0.25">
      <c r="V251" s="312"/>
      <c r="W251" s="109" t="s">
        <v>277</v>
      </c>
      <c r="AA251"/>
      <c r="AC251" s="315">
        <f t="shared" ref="AC251:AE251" si="408">(AC211*AC231/4)*AC$206</f>
        <v>5.5891150000000005</v>
      </c>
      <c r="AD251" s="315">
        <f t="shared" si="408"/>
        <v>5.3254775000000008</v>
      </c>
      <c r="AE251" s="315">
        <f t="shared" si="408"/>
        <v>5.0091124999999996</v>
      </c>
      <c r="AF251" s="315"/>
      <c r="AG251" s="315">
        <f t="shared" si="397"/>
        <v>5.1672950000000002</v>
      </c>
      <c r="AH251" s="315">
        <f t="shared" si="402"/>
        <v>5.1672950000000002</v>
      </c>
      <c r="AI251" s="315">
        <f t="shared" si="402"/>
        <v>5.1672950000000002</v>
      </c>
      <c r="AJ251" s="315">
        <f t="shared" si="402"/>
        <v>5.1672950000000002</v>
      </c>
      <c r="AK251"/>
      <c r="AL251" s="315">
        <f t="shared" ref="AL251:AO251" si="409">(AL211*AL231/4)*AL$206</f>
        <v>5.2727500000000003</v>
      </c>
      <c r="AM251" s="315">
        <f t="shared" si="409"/>
        <v>5.2727500000000003</v>
      </c>
      <c r="AN251" s="315">
        <f t="shared" si="409"/>
        <v>5.2727500000000003</v>
      </c>
      <c r="AO251" s="315">
        <f t="shared" si="409"/>
        <v>5.2727500000000003</v>
      </c>
      <c r="AQ251" s="315">
        <f t="shared" ref="AQ251:AT251" si="410">(AQ211*AQ231/4)*AQ$206</f>
        <v>5.2727500000000003</v>
      </c>
      <c r="AR251" s="315">
        <f t="shared" si="410"/>
        <v>5.2727500000000003</v>
      </c>
      <c r="AS251" s="315">
        <f t="shared" si="410"/>
        <v>5.2727500000000003</v>
      </c>
      <c r="AT251" s="315">
        <f t="shared" si="410"/>
        <v>5.2727500000000003</v>
      </c>
      <c r="AU251" s="313"/>
    </row>
    <row r="252" spans="22:47" x14ac:dyDescent="0.25">
      <c r="V252" s="312"/>
      <c r="W252" s="109" t="s">
        <v>278</v>
      </c>
      <c r="AA252"/>
      <c r="AC252" s="315">
        <f t="shared" ref="AC252:AE252" si="411">(AC212*AC232/4)*AC$206</f>
        <v>9.0630000000000006</v>
      </c>
      <c r="AD252" s="315">
        <f t="shared" si="411"/>
        <v>8.6355000000000004</v>
      </c>
      <c r="AE252" s="315">
        <f t="shared" si="411"/>
        <v>8.1225000000000005</v>
      </c>
      <c r="AF252" s="315"/>
      <c r="AG252" s="315">
        <f t="shared" si="397"/>
        <v>8.3790000000000013</v>
      </c>
      <c r="AH252" s="315">
        <f t="shared" si="402"/>
        <v>8.3790000000000013</v>
      </c>
      <c r="AI252" s="315">
        <f t="shared" si="402"/>
        <v>8.3790000000000013</v>
      </c>
      <c r="AJ252" s="315">
        <f t="shared" si="402"/>
        <v>8.3790000000000013</v>
      </c>
      <c r="AK252"/>
      <c r="AL252" s="315">
        <f t="shared" ref="AL252:AO252" si="412">(AL212*AL232/4)*AL$206</f>
        <v>8.5500000000000007</v>
      </c>
      <c r="AM252" s="315">
        <f t="shared" si="412"/>
        <v>8.5500000000000007</v>
      </c>
      <c r="AN252" s="315">
        <f t="shared" si="412"/>
        <v>8.5500000000000007</v>
      </c>
      <c r="AO252" s="315">
        <f t="shared" si="412"/>
        <v>8.5500000000000007</v>
      </c>
      <c r="AQ252" s="315">
        <f t="shared" ref="AQ252:AT252" si="413">(AQ212*AQ232/4)*AQ$206</f>
        <v>8.5500000000000007</v>
      </c>
      <c r="AR252" s="315">
        <f t="shared" si="413"/>
        <v>8.5500000000000007</v>
      </c>
      <c r="AS252" s="315">
        <f t="shared" si="413"/>
        <v>8.5500000000000007</v>
      </c>
      <c r="AT252" s="315">
        <f t="shared" si="413"/>
        <v>8.5500000000000007</v>
      </c>
      <c r="AU252" s="313"/>
    </row>
    <row r="253" spans="22:47" x14ac:dyDescent="0.25">
      <c r="V253" s="312"/>
      <c r="W253" s="109" t="s">
        <v>279</v>
      </c>
      <c r="AA253"/>
      <c r="AC253" s="315">
        <f t="shared" ref="AC253:AE253" si="414">(AC213*AC233/4)*AC$206</f>
        <v>13.63425</v>
      </c>
      <c r="AD253" s="315">
        <f t="shared" si="414"/>
        <v>12.991124999999998</v>
      </c>
      <c r="AE253" s="315">
        <f t="shared" si="414"/>
        <v>12.219374999999998</v>
      </c>
      <c r="AF253" s="315"/>
      <c r="AG253" s="315">
        <f t="shared" si="397"/>
        <v>12.605249999999998</v>
      </c>
      <c r="AH253" s="315">
        <f t="shared" si="402"/>
        <v>12.605249999999998</v>
      </c>
      <c r="AI253" s="315">
        <f t="shared" si="402"/>
        <v>12.605249999999998</v>
      </c>
      <c r="AJ253" s="315">
        <f t="shared" si="402"/>
        <v>12.605249999999998</v>
      </c>
      <c r="AK253"/>
      <c r="AL253" s="315">
        <f t="shared" ref="AL253:AO253" si="415">(AL213*AL233/4)*AL$206</f>
        <v>12.862499999999999</v>
      </c>
      <c r="AM253" s="315">
        <f t="shared" si="415"/>
        <v>12.862499999999999</v>
      </c>
      <c r="AN253" s="315">
        <f t="shared" si="415"/>
        <v>12.862499999999999</v>
      </c>
      <c r="AO253" s="315">
        <f t="shared" si="415"/>
        <v>12.862499999999999</v>
      </c>
      <c r="AQ253" s="315">
        <f t="shared" ref="AQ253:AT253" si="416">(AQ213*AQ233/4)*AQ$206</f>
        <v>12.862499999999999</v>
      </c>
      <c r="AR253" s="315">
        <f t="shared" si="416"/>
        <v>12.862499999999999</v>
      </c>
      <c r="AS253" s="315">
        <f t="shared" si="416"/>
        <v>12.862499999999999</v>
      </c>
      <c r="AT253" s="315">
        <f t="shared" si="416"/>
        <v>12.862499999999999</v>
      </c>
      <c r="AU253" s="313"/>
    </row>
    <row r="254" spans="22:47" x14ac:dyDescent="0.25">
      <c r="V254" s="312"/>
      <c r="W254" s="109" t="s">
        <v>280</v>
      </c>
      <c r="AA254"/>
      <c r="AC254" s="315">
        <f t="shared" ref="AC254:AE254" si="417">(AC214*AC234/4)*AC$206</f>
        <v>15.486600000000003</v>
      </c>
      <c r="AD254" s="315">
        <f t="shared" si="417"/>
        <v>14.756100000000002</v>
      </c>
      <c r="AE254" s="315">
        <f t="shared" si="417"/>
        <v>13.8795</v>
      </c>
      <c r="AF254" s="315"/>
      <c r="AG254" s="315">
        <f t="shared" si="397"/>
        <v>14.3178</v>
      </c>
      <c r="AH254" s="315">
        <f t="shared" si="402"/>
        <v>14.3178</v>
      </c>
      <c r="AI254" s="315">
        <f t="shared" si="402"/>
        <v>14.3178</v>
      </c>
      <c r="AJ254" s="315">
        <f t="shared" si="402"/>
        <v>14.3178</v>
      </c>
      <c r="AK254"/>
      <c r="AL254" s="315">
        <f t="shared" ref="AL254:AO254" si="418">(AL214*AL234/4)*AL$206</f>
        <v>14.610000000000001</v>
      </c>
      <c r="AM254" s="315">
        <f t="shared" si="418"/>
        <v>14.610000000000001</v>
      </c>
      <c r="AN254" s="315">
        <f t="shared" si="418"/>
        <v>14.610000000000001</v>
      </c>
      <c r="AO254" s="315">
        <f t="shared" si="418"/>
        <v>14.610000000000001</v>
      </c>
      <c r="AQ254" s="315">
        <f t="shared" ref="AQ254:AT254" si="419">(AQ214*AQ234/4)*AQ$206</f>
        <v>14.610000000000001</v>
      </c>
      <c r="AR254" s="315">
        <f t="shared" si="419"/>
        <v>14.610000000000001</v>
      </c>
      <c r="AS254" s="315">
        <f t="shared" si="419"/>
        <v>14.610000000000001</v>
      </c>
      <c r="AT254" s="315">
        <f t="shared" si="419"/>
        <v>14.610000000000001</v>
      </c>
      <c r="AU254" s="313"/>
    </row>
    <row r="255" spans="22:47" x14ac:dyDescent="0.25">
      <c r="V255" s="312"/>
      <c r="W255" s="109" t="s">
        <v>281</v>
      </c>
      <c r="AA255"/>
      <c r="AC255" s="315">
        <f t="shared" ref="AC255:AE255" si="420">(AC215*AC235/4)*AC$206</f>
        <v>8.0295000000000005</v>
      </c>
      <c r="AD255" s="315">
        <f t="shared" si="420"/>
        <v>7.6507500000000004</v>
      </c>
      <c r="AE255" s="315">
        <f t="shared" si="420"/>
        <v>7.19625</v>
      </c>
      <c r="AF255" s="315"/>
      <c r="AG255" s="315">
        <f t="shared" si="397"/>
        <v>7.4234999999999998</v>
      </c>
      <c r="AH255" s="315">
        <f t="shared" si="402"/>
        <v>7.4234999999999998</v>
      </c>
      <c r="AI255" s="315">
        <f t="shared" si="402"/>
        <v>7.4234999999999998</v>
      </c>
      <c r="AJ255" s="315">
        <f t="shared" si="402"/>
        <v>7.4234999999999998</v>
      </c>
      <c r="AK255"/>
      <c r="AL255" s="315">
        <f t="shared" ref="AL255:AO255" si="421">(AL215*AL235/4)*AL$206</f>
        <v>7.5750000000000002</v>
      </c>
      <c r="AM255" s="315">
        <f t="shared" si="421"/>
        <v>7.5750000000000002</v>
      </c>
      <c r="AN255" s="315">
        <f t="shared" si="421"/>
        <v>7.5750000000000002</v>
      </c>
      <c r="AO255" s="315">
        <f t="shared" si="421"/>
        <v>7.5750000000000002</v>
      </c>
      <c r="AQ255" s="315">
        <f t="shared" ref="AQ255:AT255" si="422">(AQ215*AQ235/4)*AQ$206</f>
        <v>7.5750000000000002</v>
      </c>
      <c r="AR255" s="315">
        <f t="shared" si="422"/>
        <v>7.5750000000000002</v>
      </c>
      <c r="AS255" s="315">
        <f t="shared" si="422"/>
        <v>7.5750000000000002</v>
      </c>
      <c r="AT255" s="315">
        <f t="shared" si="422"/>
        <v>7.5750000000000002</v>
      </c>
      <c r="AU255" s="313"/>
    </row>
    <row r="256" spans="22:47" x14ac:dyDescent="0.25">
      <c r="V256" s="312"/>
      <c r="W256" s="109" t="s">
        <v>282</v>
      </c>
      <c r="AA256"/>
      <c r="AC256" s="315">
        <f t="shared" ref="AC256:AE256" si="423">(AC216*AC236/4)*AC$206</f>
        <v>9.7758500000000002</v>
      </c>
      <c r="AD256" s="315">
        <f t="shared" si="423"/>
        <v>9.314725000000001</v>
      </c>
      <c r="AE256" s="315">
        <f t="shared" si="423"/>
        <v>8.7613749999999992</v>
      </c>
      <c r="AF256" s="315"/>
      <c r="AG256" s="315">
        <f t="shared" si="397"/>
        <v>9.0380500000000001</v>
      </c>
      <c r="AH256" s="315">
        <f t="shared" si="402"/>
        <v>9.0380500000000001</v>
      </c>
      <c r="AI256" s="315">
        <f t="shared" si="402"/>
        <v>9.0380500000000001</v>
      </c>
      <c r="AJ256" s="315">
        <f t="shared" si="402"/>
        <v>9.0380500000000001</v>
      </c>
      <c r="AK256"/>
      <c r="AL256" s="315">
        <f t="shared" ref="AL256:AO256" si="424">(AL216*AL236/4)*AL$206</f>
        <v>9.2225000000000001</v>
      </c>
      <c r="AM256" s="315">
        <f t="shared" si="424"/>
        <v>9.2225000000000001</v>
      </c>
      <c r="AN256" s="315">
        <f t="shared" si="424"/>
        <v>9.2225000000000001</v>
      </c>
      <c r="AO256" s="315">
        <f t="shared" si="424"/>
        <v>9.2225000000000001</v>
      </c>
      <c r="AQ256" s="315">
        <f t="shared" ref="AQ256:AT256" si="425">(AQ216*AQ236/4)*AQ$206</f>
        <v>9.2225000000000001</v>
      </c>
      <c r="AR256" s="315">
        <f t="shared" si="425"/>
        <v>9.2225000000000001</v>
      </c>
      <c r="AS256" s="315">
        <f t="shared" si="425"/>
        <v>9.2225000000000001</v>
      </c>
      <c r="AT256" s="315">
        <f t="shared" si="425"/>
        <v>9.2225000000000001</v>
      </c>
      <c r="AU256" s="313"/>
    </row>
    <row r="257" spans="1:47" x14ac:dyDescent="0.25">
      <c r="V257" s="312"/>
      <c r="W257" s="109" t="s">
        <v>283</v>
      </c>
      <c r="AA257"/>
      <c r="AC257" s="315">
        <f t="shared" ref="AC257:AE257" si="426">(AC217*AC237/4)*AC$206</f>
        <v>4.2671625000000004</v>
      </c>
      <c r="AD257" s="315">
        <f t="shared" si="426"/>
        <v>4.0658812499999994</v>
      </c>
      <c r="AE257" s="315">
        <f t="shared" si="426"/>
        <v>3.8243437499999997</v>
      </c>
      <c r="AF257" s="315"/>
      <c r="AG257" s="315">
        <f t="shared" si="397"/>
        <v>3.9451124999999996</v>
      </c>
      <c r="AH257" s="315">
        <f t="shared" si="402"/>
        <v>3.9451124999999996</v>
      </c>
      <c r="AI257" s="315">
        <f t="shared" si="402"/>
        <v>3.9451124999999996</v>
      </c>
      <c r="AJ257" s="315">
        <f t="shared" si="402"/>
        <v>3.9451124999999996</v>
      </c>
      <c r="AK257"/>
      <c r="AL257" s="315">
        <f t="shared" ref="AL257:AO257" si="427">(AL217*AL237/4)*AL$206</f>
        <v>4.0256249999999998</v>
      </c>
      <c r="AM257" s="315">
        <f t="shared" si="427"/>
        <v>4.0256249999999998</v>
      </c>
      <c r="AN257" s="315">
        <f t="shared" si="427"/>
        <v>4.0256249999999998</v>
      </c>
      <c r="AO257" s="315">
        <f t="shared" si="427"/>
        <v>4.0256249999999998</v>
      </c>
      <c r="AQ257" s="315">
        <f>(AQ217*AQ237/4)*AQ$206</f>
        <v>4.0256249999999998</v>
      </c>
      <c r="AR257" s="315">
        <v>0</v>
      </c>
      <c r="AS257" s="315">
        <v>0</v>
      </c>
      <c r="AT257" s="315">
        <v>0</v>
      </c>
      <c r="AU257" s="313"/>
    </row>
    <row r="258" spans="1:47" x14ac:dyDescent="0.25">
      <c r="V258" s="312"/>
      <c r="W258" s="109" t="s">
        <v>284</v>
      </c>
      <c r="AA258"/>
      <c r="AC258" s="315">
        <f t="shared" ref="AC258:AE258" si="428">(AC218*AC238/4)*AC$206</f>
        <v>4.7673499999999995</v>
      </c>
      <c r="AD258" s="315">
        <f t="shared" si="428"/>
        <v>4.5424749999999996</v>
      </c>
      <c r="AE258" s="315">
        <f t="shared" si="428"/>
        <v>4.2726249999999997</v>
      </c>
      <c r="AF258" s="315"/>
      <c r="AG258" s="315">
        <f t="shared" si="397"/>
        <v>4.4075499999999996</v>
      </c>
      <c r="AH258" s="315">
        <f t="shared" si="402"/>
        <v>4.4075499999999996</v>
      </c>
      <c r="AI258" s="315">
        <f t="shared" si="402"/>
        <v>4.4075499999999996</v>
      </c>
      <c r="AJ258" s="315">
        <f t="shared" si="402"/>
        <v>4.4075499999999996</v>
      </c>
      <c r="AK258"/>
      <c r="AL258" s="315">
        <f t="shared" ref="AL258:AO258" si="429">(AL218*AL238/4)*AL$206</f>
        <v>4.4974999999999996</v>
      </c>
      <c r="AM258" s="315">
        <f t="shared" si="429"/>
        <v>4.4974999999999996</v>
      </c>
      <c r="AN258" s="315">
        <f t="shared" si="429"/>
        <v>4.4974999999999996</v>
      </c>
      <c r="AO258" s="315">
        <f t="shared" si="429"/>
        <v>4.4974999999999996</v>
      </c>
      <c r="AQ258" s="315">
        <f t="shared" ref="AQ258:AT258" si="430">(AQ218*AQ238/4)*AQ$206</f>
        <v>4.4974999999999996</v>
      </c>
      <c r="AR258" s="315">
        <f t="shared" si="430"/>
        <v>4.4974999999999996</v>
      </c>
      <c r="AS258" s="315">
        <f t="shared" si="430"/>
        <v>4.4974999999999996</v>
      </c>
      <c r="AT258" s="315">
        <f t="shared" si="430"/>
        <v>4.4974999999999996</v>
      </c>
      <c r="AU258" s="313"/>
    </row>
    <row r="259" spans="1:47" x14ac:dyDescent="0.25">
      <c r="V259" s="312"/>
      <c r="W259" s="109" t="s">
        <v>285</v>
      </c>
      <c r="AA259"/>
      <c r="AC259" s="315">
        <f t="shared" ref="AC259:AE259" si="431">(AC219*AC239/4)*AC$206</f>
        <v>5.2867500000000005</v>
      </c>
      <c r="AD259" s="315">
        <f t="shared" si="431"/>
        <v>5.0373749999999999</v>
      </c>
      <c r="AE259" s="315">
        <f t="shared" si="431"/>
        <v>4.7381249999999993</v>
      </c>
      <c r="AF259" s="315"/>
      <c r="AG259" s="315">
        <f t="shared" si="397"/>
        <v>4.8877499999999996</v>
      </c>
      <c r="AH259" s="315">
        <f t="shared" si="402"/>
        <v>4.8877499999999996</v>
      </c>
      <c r="AI259" s="315">
        <f t="shared" si="402"/>
        <v>4.8877499999999996</v>
      </c>
      <c r="AJ259" s="315">
        <f t="shared" si="402"/>
        <v>4.8877499999999996</v>
      </c>
      <c r="AK259"/>
      <c r="AL259" s="315">
        <f t="shared" ref="AL259:AO259" si="432">(AL219*AL239/4)*AL$206</f>
        <v>4.9874999999999998</v>
      </c>
      <c r="AM259" s="315">
        <f t="shared" si="432"/>
        <v>4.9874999999999998</v>
      </c>
      <c r="AN259" s="315">
        <f t="shared" si="432"/>
        <v>4.9874999999999998</v>
      </c>
      <c r="AO259" s="315">
        <f t="shared" si="432"/>
        <v>4.9874999999999998</v>
      </c>
      <c r="AQ259" s="315">
        <f t="shared" ref="AQ259:AT259" si="433">(AQ219*AQ239/4)*AQ$206</f>
        <v>4.9874999999999998</v>
      </c>
      <c r="AR259" s="315">
        <f t="shared" si="433"/>
        <v>4.9874999999999998</v>
      </c>
      <c r="AS259" s="315">
        <f t="shared" si="433"/>
        <v>4.9874999999999998</v>
      </c>
      <c r="AT259" s="315">
        <f t="shared" si="433"/>
        <v>4.9874999999999998</v>
      </c>
      <c r="AU259" s="313"/>
    </row>
    <row r="260" spans="1:47" x14ac:dyDescent="0.25">
      <c r="V260" s="312"/>
      <c r="W260" s="109" t="s">
        <v>286</v>
      </c>
      <c r="AA260"/>
      <c r="AC260" s="315">
        <f t="shared" ref="AC260:AE260" si="434">(AC220*AC240/4)*AC$206</f>
        <v>6.0499499999999999</v>
      </c>
      <c r="AD260" s="315">
        <f t="shared" si="434"/>
        <v>5.7645749999999998</v>
      </c>
      <c r="AE260" s="315">
        <f t="shared" si="434"/>
        <v>5.4221249999999994</v>
      </c>
      <c r="AF260" s="315"/>
      <c r="AG260" s="315">
        <f t="shared" si="397"/>
        <v>5.5933499999999992</v>
      </c>
      <c r="AH260" s="315">
        <f t="shared" si="402"/>
        <v>5.5933499999999992</v>
      </c>
      <c r="AI260" s="315">
        <f t="shared" si="402"/>
        <v>5.5933499999999992</v>
      </c>
      <c r="AJ260" s="315">
        <f t="shared" si="402"/>
        <v>5.5933499999999992</v>
      </c>
      <c r="AK260"/>
      <c r="AL260" s="315">
        <f t="shared" ref="AL260:AO260" si="435">(AL220*AL240/4)*AL$206</f>
        <v>5.7074999999999996</v>
      </c>
      <c r="AM260" s="315">
        <f t="shared" si="435"/>
        <v>5.7074999999999996</v>
      </c>
      <c r="AN260" s="315">
        <f t="shared" si="435"/>
        <v>5.7074999999999996</v>
      </c>
      <c r="AO260" s="315">
        <f t="shared" si="435"/>
        <v>5.7074999999999996</v>
      </c>
      <c r="AQ260" s="315">
        <f t="shared" ref="AQ260:AT260" si="436">(AQ220*AQ240/4)*AQ$206</f>
        <v>5.7074999999999996</v>
      </c>
      <c r="AR260" s="315">
        <f t="shared" si="436"/>
        <v>5.7074999999999996</v>
      </c>
      <c r="AS260" s="315">
        <f t="shared" si="436"/>
        <v>5.7074999999999996</v>
      </c>
      <c r="AT260" s="315">
        <f t="shared" si="436"/>
        <v>5.7074999999999996</v>
      </c>
      <c r="AU260" s="313"/>
    </row>
    <row r="261" spans="1:47" x14ac:dyDescent="0.25">
      <c r="V261" s="312"/>
      <c r="W261" s="109" t="s">
        <v>287</v>
      </c>
      <c r="AA261"/>
      <c r="AC261" s="315">
        <f t="shared" ref="AC261:AE261" si="437">(AC221*AC241/4)*AC$206</f>
        <v>6.1898700000000009</v>
      </c>
      <c r="AD261" s="315">
        <f t="shared" si="437"/>
        <v>5.8978950000000001</v>
      </c>
      <c r="AE261" s="315">
        <f t="shared" si="437"/>
        <v>5.5475250000000003</v>
      </c>
      <c r="AF261" s="315"/>
      <c r="AG261" s="315">
        <f t="shared" si="397"/>
        <v>5.7227100000000002</v>
      </c>
      <c r="AH261" s="315">
        <f t="shared" si="402"/>
        <v>5.7227100000000002</v>
      </c>
      <c r="AI261" s="315">
        <f t="shared" si="402"/>
        <v>5.7227100000000002</v>
      </c>
      <c r="AJ261" s="315">
        <f t="shared" si="402"/>
        <v>5.7227100000000002</v>
      </c>
      <c r="AK261"/>
      <c r="AL261" s="315">
        <f t="shared" ref="AL261:AO261" si="438">(AL221*AL241/4)*AL$206</f>
        <v>5.8395000000000001</v>
      </c>
      <c r="AM261" s="315">
        <f t="shared" si="438"/>
        <v>5.8395000000000001</v>
      </c>
      <c r="AN261" s="315">
        <f t="shared" si="438"/>
        <v>5.8395000000000001</v>
      </c>
      <c r="AO261" s="315">
        <f t="shared" si="438"/>
        <v>5.8395000000000001</v>
      </c>
      <c r="AQ261" s="315">
        <f t="shared" ref="AQ261:AT261" si="439">(AQ221*AQ241/4)*AQ$206</f>
        <v>5.8395000000000001</v>
      </c>
      <c r="AR261" s="315">
        <f t="shared" si="439"/>
        <v>5.8395000000000001</v>
      </c>
      <c r="AS261" s="315">
        <f t="shared" si="439"/>
        <v>5.8395000000000001</v>
      </c>
      <c r="AT261" s="315">
        <f t="shared" si="439"/>
        <v>5.8395000000000001</v>
      </c>
      <c r="AU261" s="313"/>
    </row>
    <row r="262" spans="1:47" x14ac:dyDescent="0.25">
      <c r="V262" s="312"/>
      <c r="W262" s="109" t="s">
        <v>288</v>
      </c>
      <c r="AA262"/>
      <c r="AC262" s="315">
        <f t="shared" ref="AC262:AE262" si="440">(AC222*AC242/4)*AC$206</f>
        <v>2.4639037500000005</v>
      </c>
      <c r="AD262" s="315">
        <f t="shared" si="440"/>
        <v>2.3476818750000001</v>
      </c>
      <c r="AE262" s="315">
        <f t="shared" si="440"/>
        <v>2.2082156250000002</v>
      </c>
      <c r="AF262" s="315"/>
      <c r="AG262" s="315">
        <v>0</v>
      </c>
      <c r="AH262" s="315">
        <v>0</v>
      </c>
      <c r="AI262" s="315">
        <v>0</v>
      </c>
      <c r="AJ262" s="315">
        <v>0</v>
      </c>
      <c r="AK262"/>
      <c r="AL262" s="315">
        <v>0</v>
      </c>
      <c r="AM262" s="315">
        <v>0</v>
      </c>
      <c r="AN262" s="315">
        <v>0</v>
      </c>
      <c r="AO262" s="315">
        <v>0</v>
      </c>
      <c r="AQ262" s="315">
        <v>0</v>
      </c>
      <c r="AR262" s="315">
        <v>0</v>
      </c>
      <c r="AS262" s="315">
        <v>0</v>
      </c>
      <c r="AT262" s="315">
        <v>0</v>
      </c>
      <c r="AU262" s="313"/>
    </row>
    <row r="263" spans="1:47" x14ac:dyDescent="0.25">
      <c r="V263" s="312"/>
      <c r="W263" s="109" t="s">
        <v>289</v>
      </c>
      <c r="AA263"/>
      <c r="AC263" s="315">
        <f t="shared" ref="AC263:AE263" si="441">(AC223*AC243/4)*AC$206</f>
        <v>4.8727140000000002</v>
      </c>
      <c r="AD263" s="315">
        <f t="shared" si="441"/>
        <v>4.6428690000000001</v>
      </c>
      <c r="AE263" s="315">
        <f t="shared" si="441"/>
        <v>4.3670549999999997</v>
      </c>
      <c r="AF263" s="315"/>
      <c r="AG263" s="315">
        <f t="shared" ref="AG263:AJ265" si="442">(AG223*AG243/4)*AG$206</f>
        <v>4.5049619999999999</v>
      </c>
      <c r="AH263" s="315">
        <f t="shared" si="442"/>
        <v>4.5049619999999999</v>
      </c>
      <c r="AI263" s="315">
        <f t="shared" si="442"/>
        <v>4.5049619999999999</v>
      </c>
      <c r="AJ263" s="315">
        <f t="shared" si="442"/>
        <v>4.5049619999999999</v>
      </c>
      <c r="AK263"/>
      <c r="AL263" s="315">
        <f t="shared" ref="AL263:AO263" si="443">(AL223*AL243/4)*AL$206</f>
        <v>4.5968999999999998</v>
      </c>
      <c r="AM263" s="315">
        <f t="shared" si="443"/>
        <v>4.5968999999999998</v>
      </c>
      <c r="AN263" s="315">
        <f t="shared" si="443"/>
        <v>4.5968999999999998</v>
      </c>
      <c r="AO263" s="315">
        <f t="shared" si="443"/>
        <v>4.5968999999999998</v>
      </c>
      <c r="AQ263" s="315">
        <f t="shared" ref="AQ263:AT263" si="444">(AQ223*AQ243/4)*AQ$206</f>
        <v>4.5968999999999998</v>
      </c>
      <c r="AR263" s="315">
        <f t="shared" si="444"/>
        <v>4.5968999999999998</v>
      </c>
      <c r="AS263" s="315">
        <f t="shared" si="444"/>
        <v>4.5968999999999998</v>
      </c>
      <c r="AT263" s="315">
        <f t="shared" si="444"/>
        <v>4.5968999999999998</v>
      </c>
      <c r="AU263" s="313"/>
    </row>
    <row r="264" spans="1:47" x14ac:dyDescent="0.25">
      <c r="V264" s="312"/>
      <c r="W264" s="109" t="s">
        <v>290</v>
      </c>
      <c r="AA264"/>
      <c r="AC264" s="315">
        <f t="shared" ref="AC264:AE264" si="445">(AC224*AC244/4)*AC$206</f>
        <v>1.0727093999999999</v>
      </c>
      <c r="AD264" s="315">
        <f t="shared" si="445"/>
        <v>1.0221099</v>
      </c>
      <c r="AE264" s="315">
        <f t="shared" si="445"/>
        <v>0.96139049999999993</v>
      </c>
      <c r="AF264" s="315"/>
      <c r="AG264" s="315">
        <f t="shared" si="442"/>
        <v>0.99175019999999992</v>
      </c>
      <c r="AH264" s="315">
        <f t="shared" si="442"/>
        <v>0.99175019999999992</v>
      </c>
      <c r="AI264" s="315">
        <f t="shared" si="442"/>
        <v>0.99175019999999992</v>
      </c>
      <c r="AJ264" s="315">
        <f t="shared" si="442"/>
        <v>0.99175019999999992</v>
      </c>
      <c r="AK264"/>
      <c r="AL264" s="315">
        <f t="shared" ref="AL264:AO264" si="446">(AL224*AL244/4)*AL$206</f>
        <v>1.0119899999999999</v>
      </c>
      <c r="AM264" s="315">
        <f t="shared" si="446"/>
        <v>1.0119899999999999</v>
      </c>
      <c r="AN264" s="315">
        <f t="shared" si="446"/>
        <v>1.0119899999999999</v>
      </c>
      <c r="AO264" s="315">
        <f t="shared" si="446"/>
        <v>1.0119899999999999</v>
      </c>
      <c r="AQ264" s="315">
        <f t="shared" ref="AQ264:AT264" si="447">(AQ224*AQ244/4)*AQ$206</f>
        <v>1.0119899999999999</v>
      </c>
      <c r="AR264" s="315">
        <f t="shared" si="447"/>
        <v>1.0119899999999999</v>
      </c>
      <c r="AS264" s="315">
        <f t="shared" si="447"/>
        <v>1.0119899999999999</v>
      </c>
      <c r="AT264" s="315">
        <f t="shared" si="447"/>
        <v>1.0119899999999999</v>
      </c>
      <c r="AU264" s="313"/>
    </row>
    <row r="265" spans="1:47" x14ac:dyDescent="0.25">
      <c r="V265" s="312"/>
      <c r="W265" s="109" t="s">
        <v>291</v>
      </c>
      <c r="AA265"/>
      <c r="AC265" s="315">
        <f t="shared" ref="AC265:AE265" si="448">(AC225*AC245/4)*AC$206</f>
        <v>9.2326000000000015</v>
      </c>
      <c r="AD265" s="315">
        <f t="shared" si="448"/>
        <v>8.7971000000000004</v>
      </c>
      <c r="AE265" s="315">
        <f t="shared" si="448"/>
        <v>8.2744999999999997</v>
      </c>
      <c r="AF265" s="315"/>
      <c r="AG265" s="315">
        <f t="shared" si="442"/>
        <v>8.5358000000000001</v>
      </c>
      <c r="AH265" s="315">
        <f t="shared" si="442"/>
        <v>8.5358000000000001</v>
      </c>
      <c r="AI265" s="315">
        <f t="shared" si="442"/>
        <v>8.5358000000000001</v>
      </c>
      <c r="AJ265" s="315">
        <f t="shared" si="442"/>
        <v>8.5358000000000001</v>
      </c>
      <c r="AK265"/>
      <c r="AL265" s="315">
        <f>(AL225*AL245/4)*AL$206</f>
        <v>8.7100000000000009</v>
      </c>
      <c r="AM265" s="315">
        <f>(AM225*AM245/4)*AM$206</f>
        <v>8.7100000000000009</v>
      </c>
      <c r="AN265" s="315">
        <v>0</v>
      </c>
      <c r="AO265" s="315">
        <v>0</v>
      </c>
      <c r="AQ265" s="315">
        <v>0</v>
      </c>
      <c r="AR265" s="315">
        <v>0</v>
      </c>
      <c r="AS265" s="315">
        <v>0</v>
      </c>
      <c r="AT265" s="315">
        <v>0</v>
      </c>
      <c r="AU265" s="313"/>
    </row>
    <row r="266" spans="1:47" x14ac:dyDescent="0.25">
      <c r="V266" s="312"/>
      <c r="W266" s="324" t="s">
        <v>301</v>
      </c>
      <c r="X266" s="325"/>
      <c r="Y266" s="325"/>
      <c r="Z266" s="325"/>
      <c r="AA266" s="325"/>
      <c r="AB266" s="325"/>
      <c r="AC266" s="326">
        <f>SUM(AC248:AC265)</f>
        <v>115.50508624999999</v>
      </c>
      <c r="AD266" s="326">
        <f t="shared" ref="AD266:AG266" si="449">SUM(AD248:AD265)</f>
        <v>110.05673312500002</v>
      </c>
      <c r="AE266" s="326">
        <f>SUM(AE248:AE265)</f>
        <v>103.51870937499999</v>
      </c>
      <c r="AF266" s="326"/>
      <c r="AG266" s="326">
        <f t="shared" si="449"/>
        <v>104.5097725</v>
      </c>
      <c r="AH266" s="326">
        <f t="shared" ref="AH266" si="450">SUM(AH248:AH265)</f>
        <v>104.5097725</v>
      </c>
      <c r="AI266" s="326">
        <f t="shared" ref="AI266" si="451">SUM(AI248:AI265)</f>
        <v>104.5097725</v>
      </c>
      <c r="AJ266" s="326">
        <f t="shared" ref="AJ266" si="452">SUM(AJ248:AJ265)</f>
        <v>104.5097725</v>
      </c>
      <c r="AK266" s="327">
        <f>SUM(AG266:AJ266)</f>
        <v>418.03908999999999</v>
      </c>
      <c r="AL266" s="326">
        <f t="shared" ref="AL266" si="453">SUM(AL248:AL265)</f>
        <v>106.64262500000001</v>
      </c>
      <c r="AM266" s="326">
        <f t="shared" ref="AM266" si="454">SUM(AM248:AM265)</f>
        <v>106.64262500000001</v>
      </c>
      <c r="AN266" s="326">
        <f t="shared" ref="AN266" si="455">SUM(AN248:AN265)</f>
        <v>97.932625000000002</v>
      </c>
      <c r="AO266" s="326">
        <f t="shared" ref="AO266" si="456">SUM(AO248:AO265)</f>
        <v>97.932625000000002</v>
      </c>
      <c r="AP266" s="327">
        <f>SUM(AL266:AO266)</f>
        <v>409.15050000000008</v>
      </c>
      <c r="AQ266" s="326">
        <f t="shared" ref="AQ266" si="457">SUM(AQ248:AQ265)</f>
        <v>97.932625000000002</v>
      </c>
      <c r="AR266" s="326">
        <f t="shared" ref="AR266" si="458">SUM(AR248:AR265)</f>
        <v>93.906999999999996</v>
      </c>
      <c r="AS266" s="326">
        <f t="shared" ref="AS266" si="459">SUM(AS248:AS265)</f>
        <v>93.906999999999996</v>
      </c>
      <c r="AT266" s="326">
        <f t="shared" ref="AT266" si="460">SUM(AT248:AT265)</f>
        <v>93.906999999999996</v>
      </c>
      <c r="AU266" s="328">
        <f>SUM(AQ266:AT266)</f>
        <v>379.65362499999998</v>
      </c>
    </row>
    <row r="267" spans="1:47" x14ac:dyDescent="0.25">
      <c r="V267" s="312"/>
      <c r="W267" s="324" t="s">
        <v>297</v>
      </c>
      <c r="X267" s="325"/>
      <c r="Y267" s="325"/>
      <c r="Z267" s="325"/>
      <c r="AA267" s="325"/>
      <c r="AB267" s="325"/>
      <c r="AC267" s="329">
        <f>AC34</f>
        <v>-114</v>
      </c>
      <c r="AD267" s="329">
        <f>AD34</f>
        <v>-120</v>
      </c>
      <c r="AE267" s="325"/>
      <c r="AF267" s="325"/>
      <c r="AG267" s="325"/>
      <c r="AH267" s="325"/>
      <c r="AI267" s="325"/>
      <c r="AJ267" s="325"/>
      <c r="AK267" s="325"/>
      <c r="AL267" s="325"/>
      <c r="AM267" s="325"/>
      <c r="AN267" s="325"/>
      <c r="AO267" s="325"/>
      <c r="AP267" s="325"/>
      <c r="AQ267" s="325"/>
      <c r="AR267" s="325"/>
      <c r="AS267" s="325"/>
      <c r="AT267" s="325"/>
      <c r="AU267" s="330"/>
    </row>
    <row r="268" spans="1:47" x14ac:dyDescent="0.25">
      <c r="A268" s="109"/>
      <c r="V268" s="316"/>
      <c r="W268" s="317" t="s">
        <v>298</v>
      </c>
      <c r="X268" s="3"/>
      <c r="Y268" s="3"/>
      <c r="Z268" s="3"/>
      <c r="AA268" s="3"/>
      <c r="AB268" s="3"/>
      <c r="AC268" s="318">
        <f>-AC267-AC266</f>
        <v>-1.5050862499999909</v>
      </c>
      <c r="AD268" s="318">
        <f t="shared" ref="AD268" si="461">-AD267-AD266</f>
        <v>9.9432668749999777</v>
      </c>
      <c r="AE268" s="318"/>
      <c r="AF268" s="3"/>
      <c r="AG268" s="3"/>
      <c r="AH268" s="3"/>
      <c r="AI268" s="3"/>
      <c r="AJ268" s="3"/>
      <c r="AK268" s="3"/>
      <c r="AL268" s="3"/>
      <c r="AM268" s="3"/>
      <c r="AN268" s="3"/>
      <c r="AO268" s="3"/>
      <c r="AP268" s="3"/>
      <c r="AQ268" s="3"/>
      <c r="AR268" s="3"/>
      <c r="AS268" s="3"/>
      <c r="AT268" s="3"/>
      <c r="AU268" s="319"/>
    </row>
    <row r="269" spans="1:47" x14ac:dyDescent="0.25">
      <c r="A269" s="272"/>
    </row>
  </sheetData>
  <mergeCells count="2">
    <mergeCell ref="W205:Y205"/>
    <mergeCell ref="W206:Y206"/>
  </mergeCells>
  <conditionalFormatting sqref="C110:XFD110 A110">
    <cfRule type="cellIs" dxfId="0" priority="1" operator="equal">
      <formula>1</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F3660-B72C-8443-863F-0DD76F94F9D5}">
  <dimension ref="C3:Q54"/>
  <sheetViews>
    <sheetView showGridLines="0" topLeftCell="C1" workbookViewId="0">
      <selection activeCell="K4" sqref="K4"/>
    </sheetView>
  </sheetViews>
  <sheetFormatPr defaultColWidth="11.42578125" defaultRowHeight="15" x14ac:dyDescent="0.25"/>
  <cols>
    <col min="3" max="3" width="25.140625" customWidth="1"/>
    <col min="4" max="4" width="14" customWidth="1"/>
    <col min="5" max="5" width="12.7109375" customWidth="1"/>
    <col min="6" max="6" width="15.42578125" customWidth="1"/>
    <col min="7" max="7" width="14.42578125" customWidth="1"/>
    <col min="8" max="8" width="13.7109375" customWidth="1"/>
    <col min="9" max="9" width="15.7109375" customWidth="1"/>
    <col min="10" max="10" width="16" customWidth="1"/>
    <col min="11" max="11" width="16.7109375" customWidth="1"/>
    <col min="12" max="12" width="14.140625" customWidth="1"/>
    <col min="13" max="13" width="13.7109375" customWidth="1"/>
    <col min="14" max="14" width="12.42578125" customWidth="1"/>
    <col min="15" max="15" width="14.7109375" customWidth="1"/>
    <col min="16" max="16" width="13" customWidth="1"/>
    <col min="17" max="17" width="14.7109375" customWidth="1"/>
  </cols>
  <sheetData>
    <row r="3" spans="3:17" x14ac:dyDescent="0.25">
      <c r="C3" s="34" t="s">
        <v>266</v>
      </c>
      <c r="D3" s="253">
        <f>FS!BB5</f>
        <v>12497</v>
      </c>
      <c r="E3" s="253">
        <f>FS!BC5</f>
        <v>14950</v>
      </c>
      <c r="F3" s="253">
        <f>FS!BD5</f>
        <v>16883</v>
      </c>
      <c r="G3" s="253">
        <f>FS!BE5</f>
        <v>15301</v>
      </c>
      <c r="H3" s="253">
        <f>FS!BF5</f>
        <v>18884</v>
      </c>
      <c r="I3" s="378">
        <f>FS!BG5</f>
        <v>22170</v>
      </c>
      <c r="J3" s="255">
        <f>FS!BH5</f>
        <v>24516.770156809187</v>
      </c>
      <c r="K3" s="255">
        <f>J3*(1+K4)</f>
        <v>27703.950277194377</v>
      </c>
      <c r="L3" s="255">
        <f t="shared" ref="L3:Q3" si="0">K3*(1+L4)</f>
        <v>31305.463813229642</v>
      </c>
      <c r="M3" s="255">
        <f t="shared" si="0"/>
        <v>35062.119470817204</v>
      </c>
      <c r="N3" s="255">
        <f t="shared" si="0"/>
        <v>39269.573807315275</v>
      </c>
      <c r="O3" s="255">
        <f t="shared" si="0"/>
        <v>43589.226926119962</v>
      </c>
      <c r="P3" s="255">
        <f t="shared" si="0"/>
        <v>48384.04188799316</v>
      </c>
      <c r="Q3" s="255">
        <f t="shared" si="0"/>
        <v>53222.446076792483</v>
      </c>
    </row>
    <row r="4" spans="3:17" x14ac:dyDescent="0.25">
      <c r="C4" s="335" t="s">
        <v>306</v>
      </c>
      <c r="D4" s="333"/>
      <c r="E4" s="334">
        <f>E3/D3-1</f>
        <v>0.19628710890613754</v>
      </c>
      <c r="F4" s="334">
        <f t="shared" ref="F4:J4" si="1">F3/E3-1</f>
        <v>0.12929765886287625</v>
      </c>
      <c r="G4" s="334">
        <f t="shared" si="1"/>
        <v>-9.3703725641177571E-2</v>
      </c>
      <c r="H4" s="334">
        <f t="shared" si="1"/>
        <v>0.23416770145742105</v>
      </c>
      <c r="I4" s="380">
        <f t="shared" si="1"/>
        <v>0.17400974369836897</v>
      </c>
      <c r="J4" s="337">
        <f t="shared" si="1"/>
        <v>0.10585341257596692</v>
      </c>
      <c r="K4" s="337">
        <v>0.13</v>
      </c>
      <c r="L4" s="337">
        <v>0.13</v>
      </c>
      <c r="M4" s="337">
        <v>0.12</v>
      </c>
      <c r="N4" s="337">
        <v>0.12</v>
      </c>
      <c r="O4" s="337">
        <v>0.11</v>
      </c>
      <c r="P4" s="337">
        <v>0.11</v>
      </c>
      <c r="Q4" s="337">
        <v>0.1</v>
      </c>
    </row>
    <row r="6" spans="3:17" x14ac:dyDescent="0.25">
      <c r="D6" t="s">
        <v>270</v>
      </c>
    </row>
    <row r="9" spans="3:17" x14ac:dyDescent="0.25">
      <c r="D9" s="338" t="s">
        <v>258</v>
      </c>
      <c r="E9" s="338" t="s">
        <v>259</v>
      </c>
      <c r="F9" s="338" t="s">
        <v>251</v>
      </c>
      <c r="G9" s="338" t="s">
        <v>252</v>
      </c>
      <c r="H9" s="338" t="s">
        <v>253</v>
      </c>
      <c r="I9" s="338" t="s">
        <v>260</v>
      </c>
      <c r="J9" s="338" t="s">
        <v>261</v>
      </c>
      <c r="K9" s="338" t="s">
        <v>262</v>
      </c>
      <c r="L9" s="338" t="s">
        <v>263</v>
      </c>
      <c r="M9" s="338" t="s">
        <v>264</v>
      </c>
      <c r="N9" s="338" t="s">
        <v>265</v>
      </c>
      <c r="O9" s="338" t="s">
        <v>303</v>
      </c>
      <c r="P9" s="339" t="s">
        <v>304</v>
      </c>
      <c r="Q9" s="339" t="s">
        <v>305</v>
      </c>
    </row>
    <row r="10" spans="3:17" x14ac:dyDescent="0.25">
      <c r="C10" s="2" t="s">
        <v>268</v>
      </c>
      <c r="D10" s="301">
        <f>FS!BB6</f>
        <v>7240</v>
      </c>
      <c r="E10" s="301">
        <f>FS!BC6</f>
        <v>8869</v>
      </c>
      <c r="F10" s="301">
        <f>FS!BD6</f>
        <v>10186</v>
      </c>
      <c r="G10" s="301">
        <f>FS!BE6</f>
        <v>8756</v>
      </c>
      <c r="H10" s="301">
        <f>FS!BF6</f>
        <v>10985</v>
      </c>
      <c r="I10" s="376">
        <f>FS!BG6</f>
        <v>13371</v>
      </c>
      <c r="J10" s="302">
        <f>FS!BH6</f>
        <v>14670.472915781924</v>
      </c>
      <c r="K10" s="302">
        <f t="shared" ref="K10:Q10" si="2">K11*K3</f>
        <v>16622.370166316625</v>
      </c>
      <c r="L10" s="302">
        <f t="shared" si="2"/>
        <v>18783.278287937785</v>
      </c>
      <c r="M10" s="302">
        <f t="shared" si="2"/>
        <v>21037.271682490322</v>
      </c>
      <c r="N10" s="302">
        <f t="shared" si="2"/>
        <v>23561.744284389166</v>
      </c>
      <c r="O10" s="302">
        <f t="shared" si="2"/>
        <v>26153.536155671976</v>
      </c>
      <c r="P10" s="302">
        <f t="shared" si="2"/>
        <v>29030.425132795895</v>
      </c>
      <c r="Q10" s="302">
        <f t="shared" si="2"/>
        <v>31933.467646075489</v>
      </c>
    </row>
    <row r="11" spans="3:17" s="41" customFormat="1" x14ac:dyDescent="0.25">
      <c r="C11" s="344" t="s">
        <v>307</v>
      </c>
      <c r="D11" s="345">
        <f t="shared" ref="D11:J11" si="3">D10/D3</f>
        <v>0.57933904136992875</v>
      </c>
      <c r="E11" s="345">
        <f t="shared" si="3"/>
        <v>0.59324414715719065</v>
      </c>
      <c r="F11" s="345">
        <f t="shared" si="3"/>
        <v>0.60332879227625424</v>
      </c>
      <c r="G11" s="345">
        <f t="shared" si="3"/>
        <v>0.57225017972681524</v>
      </c>
      <c r="H11" s="345">
        <f t="shared" si="3"/>
        <v>0.58170938360516844</v>
      </c>
      <c r="I11" s="377">
        <f t="shared" si="3"/>
        <v>0.60311231393775377</v>
      </c>
      <c r="J11" s="347">
        <f t="shared" si="3"/>
        <v>0.59838522048172027</v>
      </c>
      <c r="K11" s="348">
        <v>0.6</v>
      </c>
      <c r="L11" s="348">
        <v>0.6</v>
      </c>
      <c r="M11" s="348">
        <v>0.6</v>
      </c>
      <c r="N11" s="348">
        <v>0.6</v>
      </c>
      <c r="O11" s="348">
        <v>0.6</v>
      </c>
      <c r="P11" s="348">
        <v>0.6</v>
      </c>
      <c r="Q11" s="348">
        <v>0.6</v>
      </c>
    </row>
    <row r="12" spans="3:17" x14ac:dyDescent="0.25">
      <c r="C12" t="s">
        <v>272</v>
      </c>
      <c r="D12" s="301">
        <f>FS!BB7</f>
        <v>1795.5</v>
      </c>
      <c r="E12" s="301">
        <f>FS!BC7</f>
        <v>1539</v>
      </c>
      <c r="F12" s="301">
        <f>FS!BD7</f>
        <v>1627</v>
      </c>
      <c r="G12" s="301">
        <f>FS!BE7</f>
        <v>1267</v>
      </c>
      <c r="H12" s="301">
        <f>FS!BF7</f>
        <v>1512</v>
      </c>
      <c r="I12" s="376">
        <f>FS!BG7</f>
        <v>1921.1120000000001</v>
      </c>
      <c r="J12" s="302">
        <f>FS!BH7</f>
        <v>2326.8228886407474</v>
      </c>
      <c r="K12" s="302">
        <f t="shared" ref="K12:Q12" si="4">K13*K3</f>
        <v>2437.9476243931049</v>
      </c>
      <c r="L12" s="302">
        <f t="shared" si="4"/>
        <v>2754.8808155642082</v>
      </c>
      <c r="M12" s="302">
        <f t="shared" si="4"/>
        <v>3085.4665134319139</v>
      </c>
      <c r="N12" s="302">
        <f t="shared" si="4"/>
        <v>3455.7224950437439</v>
      </c>
      <c r="O12" s="302">
        <f t="shared" si="4"/>
        <v>3835.8519694985566</v>
      </c>
      <c r="P12" s="302">
        <f t="shared" si="4"/>
        <v>4257.7956861433977</v>
      </c>
      <c r="Q12" s="302">
        <f t="shared" si="4"/>
        <v>4683.5752547577385</v>
      </c>
    </row>
    <row r="13" spans="3:17" s="41" customFormat="1" x14ac:dyDescent="0.25">
      <c r="C13" s="344" t="s">
        <v>308</v>
      </c>
      <c r="D13" s="346">
        <f t="shared" ref="D13:I13" si="5">D12/D3</f>
        <v>0.14367448187565016</v>
      </c>
      <c r="E13" s="346">
        <f t="shared" si="5"/>
        <v>0.10294314381270903</v>
      </c>
      <c r="F13" s="346">
        <f t="shared" si="5"/>
        <v>9.6369128709352603E-2</v>
      </c>
      <c r="G13" s="346">
        <f t="shared" si="5"/>
        <v>8.2805045421867854E-2</v>
      </c>
      <c r="H13" s="346">
        <f t="shared" si="5"/>
        <v>8.0067782249523406E-2</v>
      </c>
      <c r="I13" s="377">
        <f t="shared" si="5"/>
        <v>8.665367613892648E-2</v>
      </c>
      <c r="J13" s="347">
        <v>8.7999999999999995E-2</v>
      </c>
      <c r="K13" s="347">
        <v>8.7999999999999995E-2</v>
      </c>
      <c r="L13" s="347">
        <v>8.7999999999999995E-2</v>
      </c>
      <c r="M13" s="347">
        <v>8.7999999999999995E-2</v>
      </c>
      <c r="N13" s="347">
        <v>8.7999999999999995E-2</v>
      </c>
      <c r="O13" s="347">
        <v>8.7999999999999995E-2</v>
      </c>
      <c r="P13" s="347">
        <v>8.7999999999999995E-2</v>
      </c>
      <c r="Q13" s="347">
        <v>8.7999999999999995E-2</v>
      </c>
    </row>
    <row r="14" spans="3:17" x14ac:dyDescent="0.25">
      <c r="C14" t="s">
        <v>302</v>
      </c>
      <c r="D14" s="253">
        <f>FS!BB10</f>
        <v>423</v>
      </c>
      <c r="E14" s="253">
        <f>FS!BC10</f>
        <v>504</v>
      </c>
      <c r="F14" s="253">
        <f>FS!BD10</f>
        <v>728</v>
      </c>
      <c r="G14" s="253">
        <f>FS!BE10</f>
        <v>708</v>
      </c>
      <c r="H14" s="253">
        <f>FS!BF10</f>
        <v>796</v>
      </c>
      <c r="I14" s="378">
        <f>FS!BG10</f>
        <v>922</v>
      </c>
      <c r="J14" s="255">
        <f>FS!BH10</f>
        <v>1288.6847700665517</v>
      </c>
      <c r="K14" s="255">
        <f t="shared" ref="K14:Q14" si="6">K15*J3</f>
        <v>980.67080627236749</v>
      </c>
      <c r="L14" s="255">
        <f t="shared" si="6"/>
        <v>1385.197513859719</v>
      </c>
      <c r="M14" s="255">
        <f t="shared" si="6"/>
        <v>1565.2731906614822</v>
      </c>
      <c r="N14" s="255">
        <f t="shared" si="6"/>
        <v>1753.1059735408603</v>
      </c>
      <c r="O14" s="255">
        <f t="shared" si="6"/>
        <v>1963.4786903657639</v>
      </c>
      <c r="P14" s="255">
        <f t="shared" si="6"/>
        <v>2179.4613463059982</v>
      </c>
      <c r="Q14" s="255">
        <f t="shared" si="6"/>
        <v>2419.2020943996581</v>
      </c>
    </row>
    <row r="15" spans="3:17" s="41" customFormat="1" x14ac:dyDescent="0.25">
      <c r="C15" s="344" t="s">
        <v>309</v>
      </c>
      <c r="D15" s="346">
        <f t="shared" ref="D15:I15" si="7">D14/D3</f>
        <v>3.3848123549651915E-2</v>
      </c>
      <c r="E15" s="346">
        <f t="shared" si="7"/>
        <v>3.3712374581939798E-2</v>
      </c>
      <c r="F15" s="346">
        <f t="shared" si="7"/>
        <v>4.3120298525143638E-2</v>
      </c>
      <c r="G15" s="346">
        <f t="shared" si="7"/>
        <v>4.6271485523821973E-2</v>
      </c>
      <c r="H15" s="346">
        <f t="shared" si="7"/>
        <v>4.2152086422368146E-2</v>
      </c>
      <c r="I15" s="377">
        <f t="shared" si="7"/>
        <v>4.1587731168245379E-2</v>
      </c>
      <c r="J15" s="347">
        <v>0.04</v>
      </c>
      <c r="K15" s="348">
        <v>0.04</v>
      </c>
      <c r="L15" s="348">
        <v>0.05</v>
      </c>
      <c r="M15" s="348">
        <v>0.05</v>
      </c>
      <c r="N15" s="348">
        <v>0.05</v>
      </c>
      <c r="O15" s="348">
        <v>0.05</v>
      </c>
      <c r="P15" s="348">
        <v>0.05</v>
      </c>
      <c r="Q15" s="348">
        <v>0.05</v>
      </c>
    </row>
    <row r="16" spans="3:17" x14ac:dyDescent="0.25">
      <c r="C16" t="s">
        <v>248</v>
      </c>
      <c r="D16" s="253">
        <f>FS!BB11</f>
        <v>-848</v>
      </c>
      <c r="E16" s="253">
        <f>FS!BC11</f>
        <v>-2037</v>
      </c>
      <c r="F16" s="253">
        <f>FS!BD11</f>
        <v>-1126</v>
      </c>
      <c r="G16" s="253">
        <f>FS!BE11</f>
        <v>-1364</v>
      </c>
      <c r="H16" s="253">
        <f>FS!BF11</f>
        <v>764</v>
      </c>
      <c r="I16" s="378">
        <f>FS!BG11</f>
        <v>-304</v>
      </c>
      <c r="J16" s="255">
        <f>FS!BH11</f>
        <v>-301.48971554452692</v>
      </c>
      <c r="K16" s="255">
        <f>30</f>
        <v>30</v>
      </c>
      <c r="L16" s="255">
        <f>30</f>
        <v>30</v>
      </c>
      <c r="M16" s="255">
        <f>30</f>
        <v>30</v>
      </c>
      <c r="N16" s="255">
        <f>30</f>
        <v>30</v>
      </c>
      <c r="O16" s="255">
        <f>30</f>
        <v>30</v>
      </c>
      <c r="P16" s="255">
        <f>30</f>
        <v>30</v>
      </c>
      <c r="Q16" s="255">
        <f>30</f>
        <v>30</v>
      </c>
    </row>
    <row r="17" spans="3:17" x14ac:dyDescent="0.25">
      <c r="C17" s="340" t="s">
        <v>271</v>
      </c>
      <c r="D17" s="294">
        <f t="shared" ref="D17:I17" si="8">D10-D12-D14+D16</f>
        <v>4173.5</v>
      </c>
      <c r="E17" s="294">
        <f t="shared" si="8"/>
        <v>4789</v>
      </c>
      <c r="F17" s="294">
        <f t="shared" si="8"/>
        <v>6705</v>
      </c>
      <c r="G17" s="294">
        <f t="shared" si="8"/>
        <v>5417</v>
      </c>
      <c r="H17" s="294">
        <f t="shared" si="8"/>
        <v>9441</v>
      </c>
      <c r="I17" s="379">
        <f t="shared" si="8"/>
        <v>10223.887999999999</v>
      </c>
      <c r="J17" s="303">
        <f t="shared" ref="J17:Q17" si="9">J10-J12-J14+J16</f>
        <v>10753.475541530099</v>
      </c>
      <c r="K17" s="303">
        <f t="shared" si="9"/>
        <v>13233.751735651151</v>
      </c>
      <c r="L17" s="303">
        <f t="shared" si="9"/>
        <v>14673.199958513858</v>
      </c>
      <c r="M17" s="303">
        <f t="shared" si="9"/>
        <v>16416.531978396924</v>
      </c>
      <c r="N17" s="303">
        <f t="shared" si="9"/>
        <v>18382.915815804561</v>
      </c>
      <c r="O17" s="303">
        <f t="shared" si="9"/>
        <v>20384.205495807659</v>
      </c>
      <c r="P17" s="303">
        <f t="shared" si="9"/>
        <v>22623.168100346502</v>
      </c>
      <c r="Q17" s="303">
        <f t="shared" si="9"/>
        <v>24860.690296918092</v>
      </c>
    </row>
    <row r="20" spans="3:17" x14ac:dyDescent="0.25">
      <c r="C20" t="s">
        <v>255</v>
      </c>
      <c r="D20" s="297"/>
      <c r="E20" s="297"/>
      <c r="F20" s="297"/>
      <c r="G20" s="298"/>
      <c r="H20" s="298"/>
      <c r="I20" s="304"/>
      <c r="J20" s="304">
        <v>0</v>
      </c>
      <c r="K20" s="304">
        <v>2</v>
      </c>
      <c r="L20" s="304">
        <v>3</v>
      </c>
      <c r="M20" s="304">
        <v>4</v>
      </c>
      <c r="N20" s="304">
        <v>5</v>
      </c>
      <c r="O20" s="304">
        <v>6</v>
      </c>
      <c r="P20" s="304">
        <v>7</v>
      </c>
      <c r="Q20" s="304">
        <v>8</v>
      </c>
    </row>
    <row r="21" spans="3:17" x14ac:dyDescent="0.25">
      <c r="C21" t="s">
        <v>254</v>
      </c>
      <c r="D21" s="295"/>
      <c r="E21" s="295"/>
      <c r="F21" s="295"/>
      <c r="G21" s="296"/>
      <c r="H21" s="296"/>
      <c r="I21" s="295"/>
      <c r="J21" s="295">
        <f t="shared" ref="J21:P21" si="10">1/(1+($D$26))^J20</f>
        <v>1</v>
      </c>
      <c r="K21" s="295">
        <f t="shared" si="10"/>
        <v>0.82772198588320078</v>
      </c>
      <c r="L21" s="295">
        <f t="shared" si="10"/>
        <v>0.75305506962021707</v>
      </c>
      <c r="M21" s="295">
        <f t="shared" si="10"/>
        <v>0.68512368591442963</v>
      </c>
      <c r="N21" s="295">
        <f t="shared" si="10"/>
        <v>0.62332023770545819</v>
      </c>
      <c r="O21" s="295">
        <f t="shared" si="10"/>
        <v>0.56709193788071</v>
      </c>
      <c r="P21" s="295">
        <f t="shared" si="10"/>
        <v>0.51593586499475053</v>
      </c>
      <c r="Q21" s="295">
        <f>1/(1+($D$26))^Q20</f>
        <v>0.46939446500097404</v>
      </c>
    </row>
    <row r="22" spans="3:17" x14ac:dyDescent="0.25">
      <c r="C22" s="336" t="s">
        <v>317</v>
      </c>
      <c r="D22" s="294">
        <f>D17*D20</f>
        <v>0</v>
      </c>
      <c r="E22" s="294">
        <f>E17*E20</f>
        <v>0</v>
      </c>
      <c r="F22" s="294">
        <f>F17*F20</f>
        <v>0</v>
      </c>
      <c r="G22" s="294">
        <f>G17*G20</f>
        <v>0</v>
      </c>
      <c r="H22" s="294">
        <f>H17*H20</f>
        <v>0</v>
      </c>
      <c r="I22" s="303">
        <v>0</v>
      </c>
      <c r="J22" s="303">
        <f t="shared" ref="J22:Q22" si="11">J17*J21</f>
        <v>10753.475541530099</v>
      </c>
      <c r="K22" s="303">
        <f t="shared" si="11"/>
        <v>10953.867267318426</v>
      </c>
      <c r="L22" s="303">
        <f t="shared" si="11"/>
        <v>11049.72761631002</v>
      </c>
      <c r="M22" s="303">
        <f t="shared" si="11"/>
        <v>11247.354898971404</v>
      </c>
      <c r="N22" s="303">
        <f t="shared" si="11"/>
        <v>11458.443456026725</v>
      </c>
      <c r="O22" s="303">
        <f t="shared" si="11"/>
        <v>11559.718596776183</v>
      </c>
      <c r="P22" s="303">
        <f t="shared" si="11"/>
        <v>11672.10380277392</v>
      </c>
      <c r="Q22" s="303">
        <f t="shared" si="11"/>
        <v>11669.470421476773</v>
      </c>
    </row>
    <row r="23" spans="3:17" x14ac:dyDescent="0.25">
      <c r="C23" s="34"/>
      <c r="D23" s="333"/>
      <c r="E23" s="333"/>
      <c r="F23" s="333"/>
      <c r="G23" s="333"/>
      <c r="H23" s="333"/>
      <c r="I23" s="333"/>
      <c r="J23" s="333"/>
      <c r="K23" s="333"/>
    </row>
    <row r="24" spans="3:17" x14ac:dyDescent="0.25">
      <c r="C24" s="34"/>
      <c r="D24" s="333"/>
      <c r="E24" s="333"/>
      <c r="F24" s="333"/>
      <c r="G24" s="333"/>
      <c r="H24" s="333"/>
      <c r="I24" s="333"/>
      <c r="J24" s="333"/>
      <c r="K24" s="333"/>
    </row>
    <row r="25" spans="3:17" x14ac:dyDescent="0.25">
      <c r="C25" s="34"/>
      <c r="D25" s="333"/>
      <c r="E25" s="333"/>
      <c r="F25" s="333"/>
      <c r="G25" s="333"/>
      <c r="H25" s="333"/>
      <c r="I25" s="333"/>
      <c r="J25" s="333"/>
      <c r="K25" s="333"/>
    </row>
    <row r="26" spans="3:17" x14ac:dyDescent="0.25">
      <c r="C26" s="360" t="s">
        <v>316</v>
      </c>
      <c r="D26" s="341">
        <f>D33</f>
        <v>9.9152000000000004E-2</v>
      </c>
      <c r="E26" s="333"/>
      <c r="F26" s="333"/>
      <c r="G26" s="333"/>
      <c r="H26" s="333"/>
      <c r="I26" s="333"/>
      <c r="J26" s="333"/>
      <c r="K26" s="333"/>
    </row>
    <row r="27" spans="3:17" x14ac:dyDescent="0.25">
      <c r="C27" s="343" t="s">
        <v>250</v>
      </c>
      <c r="D27" s="342">
        <v>7.4999999999999997E-2</v>
      </c>
      <c r="F27" t="s">
        <v>325</v>
      </c>
    </row>
    <row r="28" spans="3:17" x14ac:dyDescent="0.25">
      <c r="C28" s="34"/>
      <c r="D28" s="333"/>
      <c r="E28" s="333"/>
      <c r="F28" s="333"/>
      <c r="G28" s="333"/>
      <c r="H28" s="333"/>
      <c r="I28" s="333"/>
      <c r="J28" s="333"/>
      <c r="K28" s="333"/>
    </row>
    <row r="29" spans="3:17" x14ac:dyDescent="0.25">
      <c r="E29" s="253"/>
      <c r="K29" s="333"/>
    </row>
    <row r="30" spans="3:17" x14ac:dyDescent="0.25">
      <c r="C30" t="s">
        <v>311</v>
      </c>
      <c r="D30" s="66">
        <f>3.5%</f>
        <v>3.5000000000000003E-2</v>
      </c>
      <c r="F30" s="253" t="s">
        <v>312</v>
      </c>
      <c r="K30" s="333"/>
    </row>
    <row r="31" spans="3:17" x14ac:dyDescent="0.25">
      <c r="C31" t="s">
        <v>313</v>
      </c>
      <c r="D31">
        <v>1.08</v>
      </c>
      <c r="E31" s="253"/>
      <c r="K31" s="333"/>
    </row>
    <row r="32" spans="3:17" x14ac:dyDescent="0.25">
      <c r="C32" t="s">
        <v>314</v>
      </c>
      <c r="D32" s="295">
        <v>5.9400000000000001E-2</v>
      </c>
      <c r="E32" s="253"/>
      <c r="K32" s="333"/>
    </row>
    <row r="33" spans="3:11" x14ac:dyDescent="0.25">
      <c r="C33" s="34" t="s">
        <v>315</v>
      </c>
      <c r="D33" s="350">
        <f>D30+D31*D32</f>
        <v>9.9152000000000004E-2</v>
      </c>
      <c r="F33" s="253" t="s">
        <v>318</v>
      </c>
      <c r="K33" s="333"/>
    </row>
    <row r="34" spans="3:11" x14ac:dyDescent="0.25">
      <c r="E34" s="253"/>
      <c r="K34" s="333"/>
    </row>
    <row r="36" spans="3:11" x14ac:dyDescent="0.25">
      <c r="C36" t="s">
        <v>310</v>
      </c>
      <c r="D36" s="355">
        <f>SUM(J22:Q22)</f>
        <v>90364.161601183543</v>
      </c>
    </row>
    <row r="37" spans="3:11" x14ac:dyDescent="0.25">
      <c r="C37" t="s">
        <v>256</v>
      </c>
      <c r="D37" s="355">
        <f>Q22</f>
        <v>11669.470421476773</v>
      </c>
    </row>
    <row r="38" spans="3:11" x14ac:dyDescent="0.25">
      <c r="C38" t="s">
        <v>319</v>
      </c>
      <c r="D38" s="359">
        <f>1/(D26-D27)</f>
        <v>41.404438555813172</v>
      </c>
    </row>
    <row r="39" spans="3:11" x14ac:dyDescent="0.25">
      <c r="C39" t="s">
        <v>257</v>
      </c>
      <c r="D39" s="355">
        <f>D37*D38</f>
        <v>483167.8710449143</v>
      </c>
    </row>
    <row r="40" spans="3:11" x14ac:dyDescent="0.25">
      <c r="C40" t="s">
        <v>320</v>
      </c>
      <c r="D40" s="355">
        <f>D39*Q21</f>
        <v>226796.32433478715</v>
      </c>
    </row>
    <row r="41" spans="3:11" x14ac:dyDescent="0.25">
      <c r="D41" s="356"/>
    </row>
    <row r="42" spans="3:11" x14ac:dyDescent="0.25">
      <c r="C42" s="34" t="s">
        <v>329</v>
      </c>
      <c r="D42" s="358">
        <f>D40+D36</f>
        <v>317160.48593597068</v>
      </c>
      <c r="F42" s="393" t="s">
        <v>341</v>
      </c>
      <c r="G42" s="390">
        <f>D42/J10</f>
        <v>21.618968097121243</v>
      </c>
    </row>
    <row r="43" spans="3:11" x14ac:dyDescent="0.25">
      <c r="C43" t="s">
        <v>326</v>
      </c>
      <c r="D43" s="355">
        <f>FS!AE56+FS!AE57</f>
        <v>7997</v>
      </c>
      <c r="F43" s="394" t="s">
        <v>363</v>
      </c>
      <c r="G43" s="391">
        <f>D42/J3</f>
        <v>12.936470991383171</v>
      </c>
    </row>
    <row r="44" spans="3:11" x14ac:dyDescent="0.25">
      <c r="C44" t="s">
        <v>328</v>
      </c>
      <c r="D44" s="355">
        <f>FS!AE100</f>
        <v>21</v>
      </c>
      <c r="F44" s="395" t="s">
        <v>394</v>
      </c>
      <c r="G44" s="392">
        <f>D49/J3*1000</f>
        <v>13.51170161452133</v>
      </c>
    </row>
    <row r="45" spans="3:11" x14ac:dyDescent="0.25">
      <c r="C45" s="3" t="s">
        <v>327</v>
      </c>
      <c r="D45" s="357">
        <f>FS!AJ95</f>
        <v>13749</v>
      </c>
      <c r="F45" t="s">
        <v>393</v>
      </c>
    </row>
    <row r="46" spans="3:11" x14ac:dyDescent="0.25">
      <c r="C46" s="34" t="s">
        <v>321</v>
      </c>
      <c r="D46" s="358">
        <f>D42-D45+D43-D44</f>
        <v>311387.48593597068</v>
      </c>
      <c r="I46" s="351"/>
    </row>
    <row r="47" spans="3:11" x14ac:dyDescent="0.25">
      <c r="C47" s="299" t="s">
        <v>322</v>
      </c>
      <c r="D47" s="255">
        <f>FS!AJ48</f>
        <v>940</v>
      </c>
      <c r="I47" s="351"/>
    </row>
    <row r="48" spans="3:11" x14ac:dyDescent="0.25">
      <c r="C48" s="299"/>
      <c r="D48" s="300"/>
      <c r="I48" s="351"/>
    </row>
    <row r="49" spans="3:9" x14ac:dyDescent="0.25">
      <c r="C49" s="299" t="s">
        <v>323</v>
      </c>
      <c r="D49" s="354">
        <f>D46/D47</f>
        <v>331.26328291060707</v>
      </c>
      <c r="I49" s="351"/>
    </row>
    <row r="50" spans="3:9" x14ac:dyDescent="0.25">
      <c r="C50" s="299" t="s">
        <v>324</v>
      </c>
      <c r="D50" s="353">
        <f>D49/FS!AK45</f>
        <v>29.52423884708293</v>
      </c>
      <c r="I50" s="351"/>
    </row>
    <row r="51" spans="3:9" x14ac:dyDescent="0.25">
      <c r="C51" s="299"/>
      <c r="I51" s="352"/>
    </row>
    <row r="52" spans="3:9" x14ac:dyDescent="0.25">
      <c r="C52" s="299"/>
      <c r="D52" s="353"/>
    </row>
    <row r="53" spans="3:9" x14ac:dyDescent="0.25">
      <c r="C53" s="299"/>
    </row>
    <row r="54" spans="3:9" x14ac:dyDescent="0.25">
      <c r="C54" s="299"/>
      <c r="D54" s="2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7B6A1-B508-42AE-A5BA-FDE89E3D96A9}">
  <dimension ref="B1:AD366"/>
  <sheetViews>
    <sheetView showGridLines="0" workbookViewId="0">
      <selection activeCell="T30" sqref="T30"/>
    </sheetView>
  </sheetViews>
  <sheetFormatPr defaultColWidth="8.85546875" defaultRowHeight="15" x14ac:dyDescent="0.25"/>
  <cols>
    <col min="2" max="2" width="11.42578125" customWidth="1"/>
    <col min="3" max="3" width="11" customWidth="1"/>
    <col min="4" max="4" width="11.28515625" customWidth="1"/>
    <col min="5" max="5" width="11" customWidth="1"/>
    <col min="6" max="14" width="10.42578125" customWidth="1"/>
    <col min="16" max="17" width="11.140625" bestFit="1" customWidth="1"/>
    <col min="18" max="19" width="11.7109375" customWidth="1"/>
    <col min="20" max="20" width="11.28515625" customWidth="1"/>
    <col min="24" max="24" width="11.140625" customWidth="1"/>
    <col min="25" max="25" width="12" customWidth="1"/>
  </cols>
  <sheetData>
    <row r="1" spans="2:30" ht="15.75" thickBot="1" x14ac:dyDescent="0.3"/>
    <row r="2" spans="2:30" ht="15.75" thickBot="1" x14ac:dyDescent="0.3">
      <c r="B2" s="75" t="s">
        <v>108</v>
      </c>
      <c r="C2" s="75">
        <v>2022</v>
      </c>
      <c r="D2" s="75">
        <v>2021</v>
      </c>
      <c r="E2" s="75">
        <v>2020</v>
      </c>
      <c r="F2" s="75">
        <v>2019</v>
      </c>
      <c r="G2" s="80"/>
      <c r="H2" s="80"/>
      <c r="I2" s="80"/>
      <c r="J2" s="80"/>
      <c r="K2" t="s">
        <v>120</v>
      </c>
      <c r="L2" t="s">
        <v>119</v>
      </c>
      <c r="M2" t="s">
        <v>121</v>
      </c>
      <c r="N2" t="s">
        <v>116</v>
      </c>
      <c r="Q2" t="s">
        <v>109</v>
      </c>
      <c r="R2" t="s">
        <v>110</v>
      </c>
      <c r="S2" t="s">
        <v>118</v>
      </c>
      <c r="T2" t="s">
        <v>111</v>
      </c>
      <c r="U2" t="s">
        <v>116</v>
      </c>
      <c r="V2" t="s">
        <v>91</v>
      </c>
      <c r="X2" t="s">
        <v>117</v>
      </c>
      <c r="Y2" t="s">
        <v>123</v>
      </c>
      <c r="Z2" t="s">
        <v>122</v>
      </c>
      <c r="AA2" t="s">
        <v>125</v>
      </c>
      <c r="AB2" t="s">
        <v>124</v>
      </c>
    </row>
    <row r="3" spans="2:30" ht="15.75" thickBot="1" x14ac:dyDescent="0.3">
      <c r="B3" s="76">
        <v>44923</v>
      </c>
      <c r="C3" s="77">
        <v>2143566</v>
      </c>
      <c r="D3" s="77">
        <v>2017937</v>
      </c>
      <c r="E3" s="77">
        <v>1163696</v>
      </c>
      <c r="F3" s="77">
        <v>2133253</v>
      </c>
      <c r="G3" s="81">
        <f>C3/D3-1</f>
        <v>6.2256155667892443E-2</v>
      </c>
      <c r="H3" s="81">
        <f>D3/E3-1</f>
        <v>0.73407573799342773</v>
      </c>
      <c r="I3" s="81">
        <f>E3/F3-1</f>
        <v>-0.45449695840108983</v>
      </c>
      <c r="J3" t="s">
        <v>115</v>
      </c>
      <c r="K3" s="66">
        <f>AVERAGE(G3:G91)</f>
        <v>0.14815269052720864</v>
      </c>
      <c r="L3" s="66">
        <f t="shared" ref="L3:M3" si="0">AVERAGE(H3:H91)</f>
        <v>1.2821123747211711</v>
      </c>
      <c r="M3" s="66">
        <f t="shared" si="0"/>
        <v>-0.63280804724384343</v>
      </c>
      <c r="N3" s="66">
        <v>0.14815269052720864</v>
      </c>
      <c r="P3" t="s">
        <v>115</v>
      </c>
      <c r="Q3" s="79">
        <f>SUM(C3:C91)</f>
        <v>191582452</v>
      </c>
      <c r="R3" s="79">
        <f>SUM(D3:D91)</f>
        <v>167958327</v>
      </c>
      <c r="S3" s="79">
        <f>SUM(E3:E91)</f>
        <v>74953748</v>
      </c>
      <c r="T3" s="79">
        <f>SUM(F3:F91)</f>
        <v>203736659</v>
      </c>
      <c r="U3" s="66">
        <f>Q3/R3-1</f>
        <v>0.1406546815627665</v>
      </c>
      <c r="V3" s="66">
        <f>Q3/T3-1</f>
        <v>-5.96564558369439E-2</v>
      </c>
      <c r="X3" t="s">
        <v>2</v>
      </c>
      <c r="Y3" s="66">
        <f>(U3^2)*(-0.0349)+0.2471*U3+0.1078</f>
        <v>0.14186531930751084</v>
      </c>
      <c r="Z3" s="66">
        <f>0.0191*(U3^3)-0.1329*(U3^2)+0.2762*U3+0.1604</f>
        <v>0.19667271317874802</v>
      </c>
      <c r="AA3" s="66">
        <f>-0.0243*(N3^2)+0.2294*N3+0.0784</f>
        <v>0.1118528611679777</v>
      </c>
      <c r="AB3" s="66">
        <f>0.007*(N3^3)-0.0756*(N3^2)+0.2497*N3+0.1062</f>
        <v>0.14155712866621945</v>
      </c>
    </row>
    <row r="4" spans="2:30" ht="15.75" thickBot="1" x14ac:dyDescent="0.3">
      <c r="B4" s="76">
        <v>44922</v>
      </c>
      <c r="C4" s="77">
        <v>2163901</v>
      </c>
      <c r="D4" s="77">
        <v>1995747</v>
      </c>
      <c r="E4" s="77">
        <v>1019347</v>
      </c>
      <c r="F4" s="77">
        <v>2009880</v>
      </c>
      <c r="G4" s="81">
        <f t="shared" ref="G4:G67" si="1">C4/D4-1</f>
        <v>8.4256170747093684E-2</v>
      </c>
      <c r="H4" s="81">
        <f t="shared" ref="H4:H50" si="2">D4/E4-1</f>
        <v>0.9578681253783059</v>
      </c>
      <c r="I4" s="81">
        <f t="shared" ref="I4:I67" si="3">E4/F4-1</f>
        <v>-0.49283191036280771</v>
      </c>
      <c r="J4" t="s">
        <v>114</v>
      </c>
      <c r="K4" s="66">
        <f>AVERAGE(G92:G183)</f>
        <v>0.18225811876707301</v>
      </c>
      <c r="L4" s="66">
        <f t="shared" ref="L4:M4" si="4">AVERAGE(H92:H183)</f>
        <v>1.7002026948728959</v>
      </c>
      <c r="M4" s="66">
        <f t="shared" si="4"/>
        <v>-0.70777259914241997</v>
      </c>
      <c r="N4" s="66">
        <v>0.18225811876707301</v>
      </c>
      <c r="P4" t="s">
        <v>114</v>
      </c>
      <c r="Q4" s="79">
        <f>SUM(C92:C183)</f>
        <v>201214654</v>
      </c>
      <c r="R4" s="79">
        <f>SUM(D92:D183)</f>
        <v>171626559</v>
      </c>
      <c r="S4" s="79">
        <f>SUM(E92:E183)</f>
        <v>64258932</v>
      </c>
      <c r="T4" s="79">
        <f>SUM(F92:F183)</f>
        <v>221157109</v>
      </c>
      <c r="U4" s="66">
        <f>Q4/R4-1</f>
        <v>0.17239811351109124</v>
      </c>
      <c r="V4" s="66">
        <f>Q4/T4-1</f>
        <v>-9.0173248737846379E-2</v>
      </c>
      <c r="X4" s="66">
        <v>0.12072072072072082</v>
      </c>
      <c r="Y4" s="66"/>
      <c r="AD4" s="66">
        <v>5.5906121997121749E-2</v>
      </c>
    </row>
    <row r="5" spans="2:30" ht="15.75" thickBot="1" x14ac:dyDescent="0.3">
      <c r="B5" s="76">
        <v>44921</v>
      </c>
      <c r="C5" s="77">
        <v>2211993</v>
      </c>
      <c r="D5" s="77">
        <v>2089186</v>
      </c>
      <c r="E5" s="77">
        <v>1111751</v>
      </c>
      <c r="F5" s="77">
        <v>2500396</v>
      </c>
      <c r="G5" s="81">
        <f t="shared" si="1"/>
        <v>5.8782224272994288E-2</v>
      </c>
      <c r="H5" s="81">
        <f t="shared" si="2"/>
        <v>0.87918517725641809</v>
      </c>
      <c r="I5" s="81">
        <f t="shared" si="3"/>
        <v>-0.55537002938734503</v>
      </c>
      <c r="J5" t="s">
        <v>113</v>
      </c>
      <c r="K5" s="66">
        <f>AVERAGE(G184:G274)</f>
        <v>0.35915370629323756</v>
      </c>
      <c r="L5" s="66">
        <f t="shared" ref="L5:M5" si="5">AVERAGE(H184:H274)</f>
        <v>6.8522391004789815</v>
      </c>
      <c r="M5" s="66">
        <f t="shared" si="5"/>
        <v>-0.88432364771161109</v>
      </c>
      <c r="N5" s="66">
        <v>0.35915370629323756</v>
      </c>
      <c r="P5" t="s">
        <v>113</v>
      </c>
      <c r="Q5" s="79">
        <f>SUM(C184:C274)</f>
        <v>198782931</v>
      </c>
      <c r="R5" s="79">
        <f>SUM(D184:D274)</f>
        <v>149007864</v>
      </c>
      <c r="S5" s="79">
        <f>SUM(E184:E274)</f>
        <v>26065872</v>
      </c>
      <c r="T5" s="79">
        <f>SUM(F184:F274)</f>
        <v>221317267</v>
      </c>
      <c r="U5" s="66">
        <f>Q5/R5-1</f>
        <v>0.33404322204095216</v>
      </c>
      <c r="V5" s="66">
        <f>Q5/T5-1</f>
        <v>-0.10181914997170105</v>
      </c>
      <c r="X5" s="66">
        <v>0.12341197822141559</v>
      </c>
      <c r="Y5" s="66"/>
      <c r="AD5" s="66">
        <v>6.3832199546485224E-2</v>
      </c>
    </row>
    <row r="6" spans="2:30" ht="15.75" thickBot="1" x14ac:dyDescent="0.3">
      <c r="B6" s="76">
        <v>44920</v>
      </c>
      <c r="C6" s="77">
        <v>1792282</v>
      </c>
      <c r="D6" s="77">
        <v>2070554</v>
      </c>
      <c r="E6" s="77">
        <v>1284599</v>
      </c>
      <c r="F6" s="77">
        <v>2575985</v>
      </c>
      <c r="G6" s="81">
        <f t="shared" si="1"/>
        <v>-0.13439494937103791</v>
      </c>
      <c r="H6" s="81">
        <f t="shared" si="2"/>
        <v>0.61182906105329371</v>
      </c>
      <c r="I6" s="81">
        <f t="shared" si="3"/>
        <v>-0.50131736015543571</v>
      </c>
      <c r="J6" t="s">
        <v>112</v>
      </c>
      <c r="K6" s="66">
        <f>AVERAGE(G275:G364)</f>
        <v>0.88359387688732416</v>
      </c>
      <c r="L6" s="66">
        <f t="shared" ref="L6:M6" si="6">AVERAGE(H275:H364)</f>
        <v>0.42496204218345973</v>
      </c>
      <c r="M6" s="66">
        <f t="shared" si="6"/>
        <v>-0.16031360600880259</v>
      </c>
      <c r="N6" s="66">
        <v>0.88359387688732416</v>
      </c>
      <c r="P6" t="s">
        <v>112</v>
      </c>
      <c r="Q6" s="79">
        <f>SUM(C275:C364)</f>
        <v>158171113</v>
      </c>
      <c r="R6" s="79">
        <f>SUM(D275:D364)</f>
        <v>86850884</v>
      </c>
      <c r="S6" s="79">
        <f>SUM(E275:E364)</f>
        <v>153166437</v>
      </c>
      <c r="T6" s="79">
        <f>SUM(F275:F364)</f>
        <v>189566760</v>
      </c>
      <c r="U6" s="66">
        <f>Q6/R6-1</f>
        <v>0.82118023116494698</v>
      </c>
      <c r="V6" s="66">
        <f>Q6/T6-1</f>
        <v>-0.16561789102688673</v>
      </c>
      <c r="X6" s="66">
        <v>0.17573221757322166</v>
      </c>
      <c r="Y6" s="66"/>
      <c r="AD6" s="66">
        <v>9.9834878699352148E-2</v>
      </c>
    </row>
    <row r="7" spans="2:30" ht="15.75" thickBot="1" x14ac:dyDescent="0.3">
      <c r="B7" s="76">
        <v>44919</v>
      </c>
      <c r="C7" s="77">
        <v>1827279</v>
      </c>
      <c r="D7" s="77">
        <v>1533398</v>
      </c>
      <c r="E7" s="77">
        <v>1128773</v>
      </c>
      <c r="F7" s="77">
        <v>2470786</v>
      </c>
      <c r="G7" s="81">
        <f t="shared" si="1"/>
        <v>0.19165343896366105</v>
      </c>
      <c r="H7" s="81">
        <f t="shared" si="2"/>
        <v>0.35846445653820558</v>
      </c>
      <c r="I7" s="81">
        <f t="shared" si="3"/>
        <v>-0.54315226005004069</v>
      </c>
      <c r="J7" s="81"/>
      <c r="N7" s="66">
        <v>1.2821123747211711</v>
      </c>
      <c r="P7" t="s">
        <v>115</v>
      </c>
      <c r="U7" s="66">
        <f>R3/S3-1</f>
        <v>1.2408262626173143</v>
      </c>
      <c r="X7" s="66">
        <v>0.25423728813559321</v>
      </c>
      <c r="Y7" s="66"/>
      <c r="AD7" s="66">
        <v>0.16900350525788688</v>
      </c>
    </row>
    <row r="8" spans="2:30" ht="15.75" thickBot="1" x14ac:dyDescent="0.3">
      <c r="B8" s="76">
        <v>44918</v>
      </c>
      <c r="C8" s="77">
        <v>2079519</v>
      </c>
      <c r="D8" s="77">
        <v>1709601</v>
      </c>
      <c r="E8" s="77">
        <v>616469</v>
      </c>
      <c r="F8" s="77">
        <v>2582580</v>
      </c>
      <c r="G8" s="81">
        <f t="shared" si="1"/>
        <v>0.21637680371033952</v>
      </c>
      <c r="H8" s="81">
        <f t="shared" si="2"/>
        <v>1.7732148737406099</v>
      </c>
      <c r="I8" s="81">
        <f t="shared" si="3"/>
        <v>-0.76129722990188109</v>
      </c>
      <c r="J8" s="81"/>
      <c r="N8" s="66">
        <v>1.7002026948728959</v>
      </c>
      <c r="P8" t="s">
        <v>114</v>
      </c>
      <c r="U8" s="66">
        <f t="shared" ref="U8:U9" si="7">R4/S4-1</f>
        <v>1.6708591888828779</v>
      </c>
      <c r="X8" s="66">
        <v>0.23059866962305997</v>
      </c>
      <c r="Y8" s="66"/>
      <c r="AD8" s="66">
        <v>0.15260941686869978</v>
      </c>
    </row>
    <row r="9" spans="2:30" ht="15.75" thickBot="1" x14ac:dyDescent="0.3">
      <c r="B9" s="76">
        <v>44917</v>
      </c>
      <c r="C9" s="77">
        <v>2345767</v>
      </c>
      <c r="D9" s="77">
        <v>2187792</v>
      </c>
      <c r="E9" s="77">
        <v>846520</v>
      </c>
      <c r="F9" s="77">
        <v>2552194</v>
      </c>
      <c r="G9" s="81">
        <f t="shared" si="1"/>
        <v>7.220750418686972E-2</v>
      </c>
      <c r="H9" s="81">
        <f t="shared" si="2"/>
        <v>1.5844539999054956</v>
      </c>
      <c r="I9" s="81">
        <f t="shared" si="3"/>
        <v>-0.66831675021569681</v>
      </c>
      <c r="J9" s="81"/>
      <c r="N9" s="66">
        <v>6.8522391004789815</v>
      </c>
      <c r="P9" t="s">
        <v>113</v>
      </c>
      <c r="U9" s="66">
        <f t="shared" si="7"/>
        <v>4.716588495485591</v>
      </c>
      <c r="X9" s="66">
        <v>0.36386138613861396</v>
      </c>
      <c r="Y9" s="66"/>
      <c r="AD9" s="66">
        <v>0.27089337175792516</v>
      </c>
    </row>
    <row r="10" spans="2:30" ht="15.75" thickBot="1" x14ac:dyDescent="0.3">
      <c r="B10" s="76">
        <v>44916</v>
      </c>
      <c r="C10" s="77">
        <v>2416381</v>
      </c>
      <c r="D10" s="77">
        <v>2081297</v>
      </c>
      <c r="E10" s="77">
        <v>1191123</v>
      </c>
      <c r="F10" s="77">
        <v>1937235</v>
      </c>
      <c r="G10" s="81">
        <f t="shared" si="1"/>
        <v>0.16099768557779126</v>
      </c>
      <c r="H10" s="81">
        <f t="shared" si="2"/>
        <v>0.74734011516862653</v>
      </c>
      <c r="I10" s="81">
        <f t="shared" si="3"/>
        <v>-0.38514274210408128</v>
      </c>
      <c r="J10" s="81"/>
      <c r="N10" s="66">
        <v>0.42496204218345973</v>
      </c>
      <c r="P10" t="s">
        <v>112</v>
      </c>
      <c r="U10" s="66">
        <f>R6/S6-1</f>
        <v>-0.43296399850314471</v>
      </c>
      <c r="X10" s="66">
        <v>0.1408114558472553</v>
      </c>
      <c r="Y10" s="66"/>
      <c r="AD10" s="66">
        <v>7.232361754290384E-2</v>
      </c>
    </row>
    <row r="11" spans="2:30" ht="15.75" thickBot="1" x14ac:dyDescent="0.3">
      <c r="B11" s="76">
        <v>44915</v>
      </c>
      <c r="C11" s="77">
        <v>2199432</v>
      </c>
      <c r="D11" s="77">
        <v>1979089</v>
      </c>
      <c r="E11" s="77">
        <v>992167</v>
      </c>
      <c r="F11" s="77">
        <v>1981433</v>
      </c>
      <c r="G11" s="81">
        <f t="shared" si="1"/>
        <v>0.11133556904211983</v>
      </c>
      <c r="H11" s="81">
        <f t="shared" si="2"/>
        <v>0.99471359156271077</v>
      </c>
      <c r="I11" s="81">
        <f t="shared" si="3"/>
        <v>-0.49926795405143654</v>
      </c>
      <c r="J11" s="81"/>
      <c r="N11" s="66">
        <v>-0.63280804724384343</v>
      </c>
      <c r="P11" t="s">
        <v>115</v>
      </c>
      <c r="U11" s="66">
        <f>S3/T3-1</f>
        <v>-0.63210475538425315</v>
      </c>
      <c r="X11" s="66">
        <v>5.1224944320712673E-2</v>
      </c>
      <c r="Y11" s="66"/>
      <c r="AD11" s="66">
        <v>1.1523363302520018E-2</v>
      </c>
    </row>
    <row r="12" spans="2:30" ht="15.75" thickBot="1" x14ac:dyDescent="0.3">
      <c r="B12" s="76">
        <v>44914</v>
      </c>
      <c r="C12" s="77">
        <v>2258485</v>
      </c>
      <c r="D12" s="77">
        <v>2098540</v>
      </c>
      <c r="E12" s="77">
        <v>954782</v>
      </c>
      <c r="F12" s="77">
        <v>2490503</v>
      </c>
      <c r="G12" s="81">
        <f t="shared" si="1"/>
        <v>7.6217274867288687E-2</v>
      </c>
      <c r="H12" s="81">
        <f t="shared" si="2"/>
        <v>1.1979258092423191</v>
      </c>
      <c r="I12" s="81">
        <f t="shared" si="3"/>
        <v>-0.61663085730071399</v>
      </c>
      <c r="J12" s="81"/>
      <c r="N12" s="66">
        <v>-0.70777259914241997</v>
      </c>
      <c r="P12" t="s">
        <v>114</v>
      </c>
      <c r="U12" s="66">
        <f t="shared" ref="U12:U14" si="8">S4/T4-1</f>
        <v>-0.70944215951023304</v>
      </c>
      <c r="X12" s="66">
        <v>3.9170506912442393E-2</v>
      </c>
      <c r="Y12" s="66"/>
      <c r="AD12" s="66">
        <v>1.1878631375080717E-2</v>
      </c>
    </row>
    <row r="13" spans="2:30" ht="15.75" thickBot="1" x14ac:dyDescent="0.3">
      <c r="B13" s="76">
        <v>44913</v>
      </c>
      <c r="C13" s="77">
        <v>2352352</v>
      </c>
      <c r="D13" s="77">
        <v>2118528</v>
      </c>
      <c r="E13" s="77">
        <v>1064619</v>
      </c>
      <c r="F13" s="77">
        <v>2519399</v>
      </c>
      <c r="G13" s="81">
        <f t="shared" si="1"/>
        <v>0.11037097456347045</v>
      </c>
      <c r="H13" s="81">
        <f t="shared" si="2"/>
        <v>0.98994006306481475</v>
      </c>
      <c r="I13" s="81">
        <f t="shared" si="3"/>
        <v>-0.57743136359107861</v>
      </c>
      <c r="J13" s="81"/>
      <c r="N13" s="66">
        <v>-0.88432364771161109</v>
      </c>
      <c r="P13" t="s">
        <v>113</v>
      </c>
      <c r="U13" s="66">
        <f t="shared" si="8"/>
        <v>-0.88222395679592414</v>
      </c>
      <c r="X13" s="66">
        <v>-5.3864168618266928E-2</v>
      </c>
      <c r="Y13" s="66"/>
      <c r="AD13" s="66">
        <v>-8.1767663403016666E-2</v>
      </c>
    </row>
    <row r="14" spans="2:30" ht="15.75" thickBot="1" x14ac:dyDescent="0.3">
      <c r="B14" s="76">
        <v>44912</v>
      </c>
      <c r="C14" s="77">
        <v>2225557</v>
      </c>
      <c r="D14" s="77">
        <v>2035273</v>
      </c>
      <c r="E14" s="77">
        <v>1073563</v>
      </c>
      <c r="F14" s="77">
        <v>2487987</v>
      </c>
      <c r="G14" s="81">
        <f t="shared" si="1"/>
        <v>9.3493108786880219E-2</v>
      </c>
      <c r="H14" s="81">
        <f t="shared" si="2"/>
        <v>0.89581142420146742</v>
      </c>
      <c r="I14" s="81">
        <f t="shared" si="3"/>
        <v>-0.56850136274827801</v>
      </c>
      <c r="J14" s="81"/>
      <c r="N14" s="66">
        <v>-0.16031360600880259</v>
      </c>
      <c r="P14" t="s">
        <v>112</v>
      </c>
      <c r="U14" s="66">
        <f t="shared" si="8"/>
        <v>-0.19201848995045334</v>
      </c>
      <c r="X14" s="66">
        <v>6.8877551020408267E-2</v>
      </c>
      <c r="Y14" s="66"/>
      <c r="AD14" s="66">
        <v>6.4984044096315641E-2</v>
      </c>
    </row>
    <row r="15" spans="2:30" ht="15.75" thickBot="1" x14ac:dyDescent="0.3">
      <c r="B15" s="76">
        <v>44911</v>
      </c>
      <c r="C15" s="77">
        <v>2437173</v>
      </c>
      <c r="D15" s="77">
        <v>2233754</v>
      </c>
      <c r="E15" s="77">
        <v>1066747</v>
      </c>
      <c r="F15" s="77">
        <v>2608088</v>
      </c>
      <c r="G15" s="81">
        <f t="shared" si="1"/>
        <v>9.1065981303223076E-2</v>
      </c>
      <c r="H15" s="81">
        <f t="shared" si="2"/>
        <v>1.0939866716287932</v>
      </c>
      <c r="I15" s="81">
        <f t="shared" si="3"/>
        <v>-0.59098504344945413</v>
      </c>
      <c r="J15" s="81"/>
      <c r="K15" s="81"/>
      <c r="L15" s="81"/>
      <c r="M15" s="81"/>
      <c r="N15" s="81"/>
    </row>
    <row r="16" spans="2:30" ht="15.75" thickBot="1" x14ac:dyDescent="0.3">
      <c r="B16" s="76">
        <v>44910</v>
      </c>
      <c r="C16" s="77">
        <v>2282054</v>
      </c>
      <c r="D16" s="77">
        <v>2062579</v>
      </c>
      <c r="E16" s="77">
        <v>846934</v>
      </c>
      <c r="F16" s="77">
        <v>2471408</v>
      </c>
      <c r="G16" s="81">
        <f t="shared" si="1"/>
        <v>0.10640804546153149</v>
      </c>
      <c r="H16" s="81">
        <f t="shared" si="2"/>
        <v>1.4353479728054372</v>
      </c>
      <c r="I16" s="81">
        <f t="shared" si="3"/>
        <v>-0.65730708972375262</v>
      </c>
      <c r="J16" s="81"/>
      <c r="K16" s="81"/>
      <c r="L16" s="81"/>
      <c r="M16" s="81"/>
      <c r="N16" s="81"/>
    </row>
    <row r="17" spans="2:28" ht="15.75" thickBot="1" x14ac:dyDescent="0.3">
      <c r="B17" s="76">
        <v>44909</v>
      </c>
      <c r="C17" s="77">
        <v>1981890</v>
      </c>
      <c r="D17" s="77">
        <v>1762920</v>
      </c>
      <c r="E17" s="77">
        <v>641966</v>
      </c>
      <c r="F17" s="77">
        <v>2234374</v>
      </c>
      <c r="G17" s="81">
        <f t="shared" si="1"/>
        <v>0.12420869920359401</v>
      </c>
      <c r="H17" s="81">
        <f t="shared" si="2"/>
        <v>1.7461267419146806</v>
      </c>
      <c r="I17" s="81">
        <f t="shared" si="3"/>
        <v>-0.71268641686664813</v>
      </c>
      <c r="W17" s="65"/>
      <c r="AB17" s="65"/>
    </row>
    <row r="18" spans="2:28" ht="15.75" thickBot="1" x14ac:dyDescent="0.3">
      <c r="B18" s="76">
        <v>44908</v>
      </c>
      <c r="C18" s="77">
        <v>1803264</v>
      </c>
      <c r="D18" s="77">
        <v>1520251</v>
      </c>
      <c r="E18" s="77">
        <v>552024</v>
      </c>
      <c r="F18" s="77">
        <v>2009112</v>
      </c>
      <c r="G18" s="81">
        <f t="shared" si="1"/>
        <v>0.18616202192927345</v>
      </c>
      <c r="H18" s="81">
        <f t="shared" si="2"/>
        <v>1.7539581612393662</v>
      </c>
      <c r="I18" s="81">
        <f t="shared" si="3"/>
        <v>-0.72523980743731564</v>
      </c>
    </row>
    <row r="19" spans="2:28" ht="15.75" thickBot="1" x14ac:dyDescent="0.3">
      <c r="B19" s="76">
        <v>44907</v>
      </c>
      <c r="C19" s="77">
        <v>2157893</v>
      </c>
      <c r="D19" s="77">
        <v>1912915</v>
      </c>
      <c r="E19" s="77">
        <v>752451</v>
      </c>
      <c r="F19" s="77">
        <v>2250386</v>
      </c>
      <c r="G19" s="81">
        <f t="shared" si="1"/>
        <v>0.12806528256613592</v>
      </c>
      <c r="H19" s="81">
        <f t="shared" si="2"/>
        <v>1.5422452757721099</v>
      </c>
      <c r="I19" s="81">
        <f t="shared" si="3"/>
        <v>-0.66563469555889521</v>
      </c>
      <c r="Q19" s="84"/>
    </row>
    <row r="20" spans="2:28" ht="15.75" thickBot="1" x14ac:dyDescent="0.3">
      <c r="B20" s="76">
        <v>44906</v>
      </c>
      <c r="C20" s="77">
        <v>2227120</v>
      </c>
      <c r="D20" s="77">
        <v>2040364</v>
      </c>
      <c r="E20" s="77">
        <v>865014</v>
      </c>
      <c r="F20" s="77">
        <v>2300248</v>
      </c>
      <c r="G20" s="81">
        <f t="shared" si="1"/>
        <v>9.1530726870303614E-2</v>
      </c>
      <c r="H20" s="81">
        <f t="shared" si="2"/>
        <v>1.3587641356093658</v>
      </c>
      <c r="I20" s="81">
        <f t="shared" si="3"/>
        <v>-0.62394750479078775</v>
      </c>
    </row>
    <row r="21" spans="2:28" ht="15.75" thickBot="1" x14ac:dyDescent="0.3">
      <c r="B21" s="76">
        <v>44905</v>
      </c>
      <c r="C21" s="77">
        <v>1878353</v>
      </c>
      <c r="D21" s="77">
        <v>1669737</v>
      </c>
      <c r="E21" s="77">
        <v>662380</v>
      </c>
      <c r="F21" s="77">
        <v>1893871</v>
      </c>
      <c r="G21" s="81">
        <f t="shared" si="1"/>
        <v>0.12493943656995077</v>
      </c>
      <c r="H21" s="81">
        <f t="shared" si="2"/>
        <v>1.520814336181648</v>
      </c>
      <c r="I21" s="81">
        <f t="shared" si="3"/>
        <v>-0.6502507298543565</v>
      </c>
    </row>
    <row r="22" spans="2:28" ht="15.75" thickBot="1" x14ac:dyDescent="0.3">
      <c r="B22" s="76">
        <v>44904</v>
      </c>
      <c r="C22" s="77">
        <v>2287095</v>
      </c>
      <c r="D22" s="77">
        <v>2045674</v>
      </c>
      <c r="E22" s="77">
        <v>787489</v>
      </c>
      <c r="F22" s="77">
        <v>2388029</v>
      </c>
      <c r="G22" s="81">
        <f t="shared" si="1"/>
        <v>0.11801538270516221</v>
      </c>
      <c r="H22" s="81">
        <f t="shared" si="2"/>
        <v>1.5977175554198215</v>
      </c>
      <c r="I22" s="81">
        <f t="shared" si="3"/>
        <v>-0.67023474170539799</v>
      </c>
    </row>
    <row r="23" spans="2:28" ht="15.75" thickBot="1" x14ac:dyDescent="0.3">
      <c r="B23" s="76">
        <v>44903</v>
      </c>
      <c r="C23" s="77">
        <v>2199544</v>
      </c>
      <c r="D23" s="77">
        <v>1959937</v>
      </c>
      <c r="E23" s="77">
        <v>754307</v>
      </c>
      <c r="F23" s="77">
        <v>2362310</v>
      </c>
      <c r="G23" s="81">
        <f t="shared" si="1"/>
        <v>0.1222523989291493</v>
      </c>
      <c r="H23" s="81">
        <f t="shared" si="2"/>
        <v>1.5983280017287389</v>
      </c>
      <c r="I23" s="81">
        <f t="shared" si="3"/>
        <v>-0.680690933874047</v>
      </c>
    </row>
    <row r="24" spans="2:28" ht="15.75" thickBot="1" x14ac:dyDescent="0.3">
      <c r="B24" s="76">
        <v>44902</v>
      </c>
      <c r="C24" s="77">
        <v>1876027</v>
      </c>
      <c r="D24" s="77">
        <v>1610785</v>
      </c>
      <c r="E24" s="77">
        <v>564372</v>
      </c>
      <c r="F24" s="77">
        <v>2020488</v>
      </c>
      <c r="G24" s="81">
        <f t="shared" si="1"/>
        <v>0.16466629624686102</v>
      </c>
      <c r="H24" s="81">
        <f t="shared" si="2"/>
        <v>1.8541192688510417</v>
      </c>
      <c r="I24" s="81">
        <f t="shared" si="3"/>
        <v>-0.72067540119020745</v>
      </c>
    </row>
    <row r="25" spans="2:28" ht="15.75" thickBot="1" x14ac:dyDescent="0.3">
      <c r="B25" s="76">
        <v>44901</v>
      </c>
      <c r="C25" s="77">
        <v>1691907</v>
      </c>
      <c r="D25" s="77">
        <v>1459054</v>
      </c>
      <c r="E25" s="77">
        <v>501513</v>
      </c>
      <c r="F25" s="77">
        <v>1897051</v>
      </c>
      <c r="G25" s="81">
        <f t="shared" si="1"/>
        <v>0.15959176288197696</v>
      </c>
      <c r="H25" s="81">
        <f t="shared" si="2"/>
        <v>1.9093044447501861</v>
      </c>
      <c r="I25" s="81">
        <f t="shared" si="3"/>
        <v>-0.73563546789200718</v>
      </c>
    </row>
    <row r="26" spans="2:28" ht="15.75" thickBot="1" x14ac:dyDescent="0.3">
      <c r="B26" s="76">
        <v>44900</v>
      </c>
      <c r="C26" s="77">
        <v>2132514</v>
      </c>
      <c r="D26" s="77">
        <v>1854048</v>
      </c>
      <c r="E26" s="77">
        <v>703546</v>
      </c>
      <c r="F26" s="77">
        <v>2226290</v>
      </c>
      <c r="G26" s="81">
        <f t="shared" si="1"/>
        <v>0.15019352249779949</v>
      </c>
      <c r="H26" s="81">
        <f t="shared" si="2"/>
        <v>1.6352903719159797</v>
      </c>
      <c r="I26" s="81">
        <f t="shared" si="3"/>
        <v>-0.68398276954035642</v>
      </c>
    </row>
    <row r="27" spans="2:28" ht="15.75" thickBot="1" x14ac:dyDescent="0.3">
      <c r="B27" s="76">
        <v>44899</v>
      </c>
      <c r="C27" s="77">
        <v>2256037</v>
      </c>
      <c r="D27" s="77">
        <v>2068792</v>
      </c>
      <c r="E27" s="77">
        <v>837137</v>
      </c>
      <c r="F27" s="77">
        <v>2292079</v>
      </c>
      <c r="G27" s="81">
        <f t="shared" si="1"/>
        <v>9.0509340716708131E-2</v>
      </c>
      <c r="H27" s="81">
        <f t="shared" si="2"/>
        <v>1.4712705327801783</v>
      </c>
      <c r="I27" s="81">
        <f t="shared" si="3"/>
        <v>-0.63476956946073848</v>
      </c>
      <c r="J27" s="82"/>
      <c r="K27" s="82"/>
      <c r="L27" s="82"/>
      <c r="M27" s="82"/>
      <c r="Q27" s="82"/>
      <c r="R27" s="82"/>
      <c r="S27" s="82"/>
      <c r="T27" s="82"/>
      <c r="U27" s="82"/>
    </row>
    <row r="28" spans="2:28" ht="15.75" thickBot="1" x14ac:dyDescent="0.3">
      <c r="B28" s="76">
        <v>44898</v>
      </c>
      <c r="C28" s="77">
        <v>1783271</v>
      </c>
      <c r="D28" s="77">
        <v>1566729</v>
      </c>
      <c r="E28" s="77">
        <v>629430</v>
      </c>
      <c r="F28" s="77">
        <v>1755801</v>
      </c>
      <c r="G28" s="81">
        <f t="shared" si="1"/>
        <v>0.13821279876736825</v>
      </c>
      <c r="H28" s="81">
        <f t="shared" si="2"/>
        <v>1.489123492683857</v>
      </c>
      <c r="I28" s="81">
        <f t="shared" si="3"/>
        <v>-0.64151404401751677</v>
      </c>
    </row>
    <row r="29" spans="2:28" ht="15.75" thickBot="1" x14ac:dyDescent="0.3">
      <c r="B29" s="76">
        <v>44897</v>
      </c>
      <c r="C29" s="77">
        <v>2124514</v>
      </c>
      <c r="D29" s="77">
        <v>1952294</v>
      </c>
      <c r="E29" s="77">
        <v>753951</v>
      </c>
      <c r="F29" s="77">
        <v>2278205</v>
      </c>
      <c r="G29" s="81">
        <f t="shared" si="1"/>
        <v>8.8214172660470158E-2</v>
      </c>
      <c r="H29" s="81">
        <f t="shared" si="2"/>
        <v>1.5894176146725716</v>
      </c>
      <c r="I29" s="81">
        <f t="shared" si="3"/>
        <v>-0.66905919353174981</v>
      </c>
    </row>
    <row r="30" spans="2:28" ht="15.75" thickBot="1" x14ac:dyDescent="0.3">
      <c r="B30" s="76">
        <v>44896</v>
      </c>
      <c r="C30" s="77">
        <v>2044164</v>
      </c>
      <c r="D30" s="77">
        <v>1866275</v>
      </c>
      <c r="E30" s="77">
        <v>738050</v>
      </c>
      <c r="F30" s="77">
        <v>2262878</v>
      </c>
      <c r="G30" s="81">
        <f t="shared" si="1"/>
        <v>9.5317678262849759E-2</v>
      </c>
      <c r="H30" s="81">
        <f t="shared" si="2"/>
        <v>1.528656595081634</v>
      </c>
      <c r="I30" s="81">
        <f t="shared" si="3"/>
        <v>-0.6738445466348606</v>
      </c>
      <c r="K30" s="83">
        <f>-0.0104*(U3^2)+0.1105*U3+0.0958</f>
        <v>0.11113659142245225</v>
      </c>
      <c r="L30" t="s">
        <v>126</v>
      </c>
      <c r="S30" s="83">
        <f>-0.0074*(U3^2)+0.0829*U3+0.0472</f>
        <v>5.871387342965647E-2</v>
      </c>
      <c r="T30" t="s">
        <v>131</v>
      </c>
    </row>
    <row r="31" spans="2:28" ht="15.75" thickBot="1" x14ac:dyDescent="0.3">
      <c r="B31" s="76">
        <v>44895</v>
      </c>
      <c r="C31" s="77">
        <v>1886607</v>
      </c>
      <c r="D31" s="77">
        <v>1660506</v>
      </c>
      <c r="E31" s="77">
        <v>632356</v>
      </c>
      <c r="F31" s="77">
        <v>2054380</v>
      </c>
      <c r="G31" s="81">
        <f t="shared" si="1"/>
        <v>0.13616391630021218</v>
      </c>
      <c r="H31" s="81">
        <f t="shared" si="2"/>
        <v>1.6259037630701694</v>
      </c>
      <c r="I31" s="81">
        <f t="shared" si="3"/>
        <v>-0.69219131806189704</v>
      </c>
    </row>
    <row r="32" spans="2:28" ht="15.75" thickBot="1" x14ac:dyDescent="0.3">
      <c r="B32" s="76">
        <v>44894</v>
      </c>
      <c r="C32" s="77">
        <v>1945377</v>
      </c>
      <c r="D32" s="77">
        <v>1810460</v>
      </c>
      <c r="E32" s="77">
        <v>780283</v>
      </c>
      <c r="F32" s="77">
        <v>2280403</v>
      </c>
      <c r="G32" s="81">
        <f t="shared" si="1"/>
        <v>7.4520840007511913E-2</v>
      </c>
      <c r="H32" s="81">
        <f t="shared" si="2"/>
        <v>1.3202607259161101</v>
      </c>
      <c r="I32" s="81">
        <f t="shared" si="3"/>
        <v>-0.6578310938899834</v>
      </c>
      <c r="J32" s="82"/>
      <c r="K32" s="82"/>
      <c r="L32" s="82"/>
      <c r="M32" s="82"/>
      <c r="N32" s="82"/>
      <c r="O32" s="82"/>
      <c r="P32" s="82"/>
      <c r="Q32" s="82"/>
      <c r="R32" s="82"/>
      <c r="S32" s="82"/>
      <c r="T32" s="82"/>
      <c r="U32" s="82"/>
      <c r="V32" s="82"/>
      <c r="W32" s="82"/>
      <c r="X32" s="82"/>
    </row>
    <row r="33" spans="2:30" ht="15.75" thickBot="1" x14ac:dyDescent="0.3">
      <c r="B33" s="76">
        <v>44893</v>
      </c>
      <c r="C33" s="77">
        <v>2412397</v>
      </c>
      <c r="D33" s="77">
        <v>2237087</v>
      </c>
      <c r="E33" s="77">
        <v>981912</v>
      </c>
      <c r="F33" s="77">
        <v>2591470</v>
      </c>
      <c r="G33" s="81">
        <f t="shared" si="1"/>
        <v>7.8365302735208697E-2</v>
      </c>
      <c r="H33" s="81">
        <f t="shared" si="2"/>
        <v>1.278296833117428</v>
      </c>
      <c r="I33" s="81">
        <f t="shared" si="3"/>
        <v>-0.62109844991452734</v>
      </c>
    </row>
    <row r="34" spans="2:30" ht="15.75" thickBot="1" x14ac:dyDescent="0.3">
      <c r="B34" s="76">
        <v>44892</v>
      </c>
      <c r="C34" s="77">
        <v>2560623</v>
      </c>
      <c r="D34" s="77">
        <v>2451300</v>
      </c>
      <c r="E34" s="77">
        <v>1176091</v>
      </c>
      <c r="F34" s="77">
        <v>2882915</v>
      </c>
      <c r="G34" s="81">
        <f t="shared" si="1"/>
        <v>4.4597968424917367E-2</v>
      </c>
      <c r="H34" s="81">
        <f t="shared" si="2"/>
        <v>1.0842774921328369</v>
      </c>
      <c r="I34" s="81">
        <f t="shared" si="3"/>
        <v>-0.59204797921548158</v>
      </c>
      <c r="AD34" s="66"/>
    </row>
    <row r="35" spans="2:30" ht="15.75" thickBot="1" x14ac:dyDescent="0.3">
      <c r="B35" s="76">
        <v>44891</v>
      </c>
      <c r="C35" s="77">
        <v>2268189</v>
      </c>
      <c r="D35" s="77">
        <v>2208192</v>
      </c>
      <c r="E35" s="77">
        <v>964630</v>
      </c>
      <c r="F35" s="77">
        <v>2648268</v>
      </c>
      <c r="G35" s="81">
        <f t="shared" si="1"/>
        <v>2.7170191722458936E-2</v>
      </c>
      <c r="H35" s="81">
        <f t="shared" si="2"/>
        <v>1.2891595741372339</v>
      </c>
      <c r="I35" s="81">
        <f t="shared" si="3"/>
        <v>-0.63575061134296074</v>
      </c>
    </row>
    <row r="36" spans="2:30" ht="15.75" thickBot="1" x14ac:dyDescent="0.3">
      <c r="B36" s="76">
        <v>44890</v>
      </c>
      <c r="C36" s="77">
        <v>1980837</v>
      </c>
      <c r="D36" s="77">
        <v>1778983</v>
      </c>
      <c r="E36" s="77">
        <v>820399</v>
      </c>
      <c r="F36" s="77">
        <v>1968137</v>
      </c>
      <c r="G36" s="81">
        <f t="shared" si="1"/>
        <v>0.1134659521760466</v>
      </c>
      <c r="H36" s="81">
        <f t="shared" si="2"/>
        <v>1.1684363340277111</v>
      </c>
      <c r="I36" s="81">
        <f t="shared" si="3"/>
        <v>-0.58315960728343608</v>
      </c>
    </row>
    <row r="37" spans="2:30" ht="15.75" thickBot="1" x14ac:dyDescent="0.3">
      <c r="B37" s="76">
        <v>44889</v>
      </c>
      <c r="C37" s="77">
        <v>1400490</v>
      </c>
      <c r="D37" s="77">
        <v>1382230</v>
      </c>
      <c r="E37" s="77">
        <v>560902</v>
      </c>
      <c r="F37" s="77">
        <v>1591158</v>
      </c>
      <c r="G37" s="81">
        <f t="shared" si="1"/>
        <v>1.321053659665905E-2</v>
      </c>
      <c r="H37" s="81">
        <f t="shared" si="2"/>
        <v>1.464298576221871</v>
      </c>
      <c r="I37" s="81">
        <f t="shared" si="3"/>
        <v>-0.64748818156336452</v>
      </c>
    </row>
    <row r="38" spans="2:30" ht="15.75" thickBot="1" x14ac:dyDescent="0.3">
      <c r="B38" s="76">
        <v>44888</v>
      </c>
      <c r="C38" s="77">
        <v>2455142</v>
      </c>
      <c r="D38" s="77">
        <v>2311978</v>
      </c>
      <c r="E38" s="77">
        <v>1070967</v>
      </c>
      <c r="F38" s="77">
        <v>2624250</v>
      </c>
      <c r="G38" s="81">
        <f t="shared" si="1"/>
        <v>6.1922734558892856E-2</v>
      </c>
      <c r="H38" s="81">
        <f t="shared" si="2"/>
        <v>1.1587761340919003</v>
      </c>
      <c r="I38" s="81">
        <f t="shared" si="3"/>
        <v>-0.59189597027722207</v>
      </c>
    </row>
    <row r="39" spans="2:30" ht="15.75" thickBot="1" x14ac:dyDescent="0.3">
      <c r="B39" s="76">
        <v>44887</v>
      </c>
      <c r="C39" s="77">
        <v>2299346</v>
      </c>
      <c r="D39" s="77">
        <v>2207949</v>
      </c>
      <c r="E39" s="77">
        <v>912090</v>
      </c>
      <c r="F39" s="77">
        <v>2435170</v>
      </c>
      <c r="G39" s="81">
        <f t="shared" si="1"/>
        <v>4.1394524964118329E-2</v>
      </c>
      <c r="H39" s="81">
        <f t="shared" si="2"/>
        <v>1.4207578199519784</v>
      </c>
      <c r="I39" s="81">
        <f t="shared" si="3"/>
        <v>-0.62545120053220105</v>
      </c>
    </row>
    <row r="40" spans="2:30" ht="15.75" thickBot="1" x14ac:dyDescent="0.3">
      <c r="B40" s="76">
        <v>44886</v>
      </c>
      <c r="C40" s="77">
        <v>2265574</v>
      </c>
      <c r="D40" s="77">
        <v>2081064</v>
      </c>
      <c r="E40" s="77">
        <v>917354</v>
      </c>
      <c r="F40" s="77">
        <v>2254188</v>
      </c>
      <c r="G40" s="81">
        <f t="shared" si="1"/>
        <v>8.8661377064809255E-2</v>
      </c>
      <c r="H40" s="81">
        <f t="shared" si="2"/>
        <v>1.2685506358505005</v>
      </c>
      <c r="I40" s="81">
        <f t="shared" si="3"/>
        <v>-0.59304459077947358</v>
      </c>
      <c r="J40" s="82"/>
      <c r="Q40" s="82"/>
      <c r="R40" s="82"/>
    </row>
    <row r="41" spans="2:30" ht="15.75" thickBot="1" x14ac:dyDescent="0.3">
      <c r="B41" s="76">
        <v>44885</v>
      </c>
      <c r="C41" s="77">
        <v>2327284</v>
      </c>
      <c r="D41" s="77">
        <v>2213716</v>
      </c>
      <c r="E41" s="77">
        <v>1047934</v>
      </c>
      <c r="F41" s="77">
        <v>2321546</v>
      </c>
      <c r="G41" s="81">
        <f t="shared" si="1"/>
        <v>5.1301973694909409E-2</v>
      </c>
      <c r="H41" s="81">
        <f t="shared" si="2"/>
        <v>1.1124574639242546</v>
      </c>
      <c r="I41" s="81">
        <f t="shared" si="3"/>
        <v>-0.54860511055994587</v>
      </c>
    </row>
    <row r="42" spans="2:30" ht="15.75" thickBot="1" x14ac:dyDescent="0.3">
      <c r="B42" s="76">
        <v>44884</v>
      </c>
      <c r="C42" s="77">
        <v>2148196</v>
      </c>
      <c r="D42" s="77">
        <v>2004579</v>
      </c>
      <c r="E42" s="77">
        <v>984369</v>
      </c>
      <c r="F42" s="77">
        <v>2194291</v>
      </c>
      <c r="G42" s="81">
        <f t="shared" si="1"/>
        <v>7.1644469985967074E-2</v>
      </c>
      <c r="H42" s="81">
        <f t="shared" si="2"/>
        <v>1.0364101266902961</v>
      </c>
      <c r="I42" s="81">
        <f t="shared" si="3"/>
        <v>-0.55139541656051994</v>
      </c>
    </row>
    <row r="43" spans="2:30" ht="15.75" thickBot="1" x14ac:dyDescent="0.3">
      <c r="B43" s="76">
        <v>44883</v>
      </c>
      <c r="C43" s="77">
        <v>2451996</v>
      </c>
      <c r="D43" s="77">
        <v>2242956</v>
      </c>
      <c r="E43" s="77">
        <v>1019836</v>
      </c>
      <c r="F43" s="77">
        <v>2550459</v>
      </c>
      <c r="G43" s="81">
        <f t="shared" si="1"/>
        <v>9.3198439915896714E-2</v>
      </c>
      <c r="H43" s="81">
        <f t="shared" si="2"/>
        <v>1.1993300883671494</v>
      </c>
      <c r="I43" s="81">
        <f t="shared" si="3"/>
        <v>-0.60013628919343542</v>
      </c>
    </row>
    <row r="44" spans="2:30" ht="15.75" thickBot="1" x14ac:dyDescent="0.3">
      <c r="B44" s="76">
        <v>44882</v>
      </c>
      <c r="C44" s="77">
        <v>2316875</v>
      </c>
      <c r="D44" s="77">
        <v>2044545</v>
      </c>
      <c r="E44" s="77">
        <v>907332</v>
      </c>
      <c r="F44" s="77">
        <v>2428095</v>
      </c>
      <c r="G44" s="81">
        <f t="shared" si="1"/>
        <v>0.13319833997295238</v>
      </c>
      <c r="H44" s="81">
        <f t="shared" si="2"/>
        <v>1.2533592995728133</v>
      </c>
      <c r="I44" s="81">
        <f t="shared" si="3"/>
        <v>-0.62631939854083141</v>
      </c>
    </row>
    <row r="45" spans="2:30" ht="15.75" thickBot="1" x14ac:dyDescent="0.3">
      <c r="B45" s="76">
        <v>44881</v>
      </c>
      <c r="C45" s="77">
        <v>1965673</v>
      </c>
      <c r="D45" s="77">
        <v>1624511</v>
      </c>
      <c r="E45" s="77">
        <v>703135</v>
      </c>
      <c r="F45" s="77">
        <v>2071631</v>
      </c>
      <c r="G45" s="81">
        <f t="shared" si="1"/>
        <v>0.21000904272116339</v>
      </c>
      <c r="H45" s="81">
        <f t="shared" si="2"/>
        <v>1.3103827856670485</v>
      </c>
      <c r="I45" s="81">
        <f t="shared" si="3"/>
        <v>-0.66058868591945186</v>
      </c>
    </row>
    <row r="46" spans="2:30" ht="15.75" thickBot="1" x14ac:dyDescent="0.3">
      <c r="B46" s="76">
        <v>44880</v>
      </c>
      <c r="C46" s="77">
        <v>1889169</v>
      </c>
      <c r="D46" s="77">
        <v>1491890</v>
      </c>
      <c r="E46" s="77">
        <v>611497</v>
      </c>
      <c r="F46" s="77">
        <v>1900895</v>
      </c>
      <c r="G46" s="81">
        <f t="shared" si="1"/>
        <v>0.26629242102299777</v>
      </c>
      <c r="H46" s="81">
        <f t="shared" si="2"/>
        <v>1.4397339643530547</v>
      </c>
      <c r="I46" s="81">
        <f t="shared" si="3"/>
        <v>-0.67831100613132234</v>
      </c>
    </row>
    <row r="47" spans="2:30" ht="15.75" thickBot="1" x14ac:dyDescent="0.3">
      <c r="B47" s="76">
        <v>44879</v>
      </c>
      <c r="C47" s="77">
        <v>2263943</v>
      </c>
      <c r="D47" s="77">
        <v>2010601</v>
      </c>
      <c r="E47" s="77">
        <v>883157</v>
      </c>
      <c r="F47" s="77">
        <v>2298856</v>
      </c>
      <c r="G47" s="81">
        <f t="shared" si="1"/>
        <v>0.12600312046000184</v>
      </c>
      <c r="H47" s="81">
        <f t="shared" si="2"/>
        <v>1.276606537682428</v>
      </c>
      <c r="I47" s="81">
        <f t="shared" si="3"/>
        <v>-0.61582761164683653</v>
      </c>
    </row>
    <row r="48" spans="2:30" ht="15.75" thickBot="1" x14ac:dyDescent="0.3">
      <c r="B48" s="76">
        <v>44878</v>
      </c>
      <c r="C48" s="77">
        <v>2435219</v>
      </c>
      <c r="D48" s="77">
        <v>2150150</v>
      </c>
      <c r="E48" s="77">
        <v>978297</v>
      </c>
      <c r="F48" s="77">
        <v>2396681</v>
      </c>
      <c r="G48" s="81">
        <f t="shared" si="1"/>
        <v>0.13258098272213559</v>
      </c>
      <c r="H48" s="81">
        <f t="shared" si="2"/>
        <v>1.1978499371867644</v>
      </c>
      <c r="I48" s="81">
        <f t="shared" si="3"/>
        <v>-0.5918117596793232</v>
      </c>
    </row>
    <row r="49" spans="2:14" ht="15.75" thickBot="1" x14ac:dyDescent="0.3">
      <c r="B49" s="76">
        <v>44877</v>
      </c>
      <c r="C49" s="77">
        <v>1871427</v>
      </c>
      <c r="D49" s="77">
        <v>1559772</v>
      </c>
      <c r="E49" s="77">
        <v>697360</v>
      </c>
      <c r="F49" s="77">
        <v>1807230</v>
      </c>
      <c r="G49" s="81">
        <f t="shared" si="1"/>
        <v>0.19980804886868087</v>
      </c>
      <c r="H49" s="81">
        <f t="shared" si="2"/>
        <v>1.2366811976597454</v>
      </c>
      <c r="I49" s="81">
        <f t="shared" si="3"/>
        <v>-0.61412769819004775</v>
      </c>
    </row>
    <row r="50" spans="2:14" ht="15.75" thickBot="1" x14ac:dyDescent="0.3">
      <c r="B50" s="76">
        <v>44876</v>
      </c>
      <c r="C50" s="77">
        <v>2317632</v>
      </c>
      <c r="D50" s="77">
        <v>2001439</v>
      </c>
      <c r="E50" s="77">
        <v>881579</v>
      </c>
      <c r="F50" s="77">
        <v>2437211</v>
      </c>
      <c r="G50" s="81">
        <f t="shared" si="1"/>
        <v>0.15798283135284152</v>
      </c>
      <c r="H50" s="81">
        <f t="shared" si="2"/>
        <v>1.2702888793857388</v>
      </c>
      <c r="I50" s="81">
        <f t="shared" si="3"/>
        <v>-0.6382836775314078</v>
      </c>
    </row>
    <row r="51" spans="2:14" ht="15.75" thickBot="1" x14ac:dyDescent="0.3">
      <c r="B51" s="76">
        <v>44875</v>
      </c>
      <c r="C51" s="77">
        <v>2176720</v>
      </c>
      <c r="D51" s="77">
        <v>2064753</v>
      </c>
      <c r="E51" s="77">
        <v>866679</v>
      </c>
      <c r="F51" s="77">
        <v>2364920</v>
      </c>
      <c r="G51" s="81">
        <f t="shared" si="1"/>
        <v>5.4227793832966942E-2</v>
      </c>
      <c r="H51" s="81">
        <f t="shared" ref="H51:H67" si="9">D51/E51-1</f>
        <v>1.382373404686164</v>
      </c>
      <c r="I51" s="81">
        <f t="shared" si="3"/>
        <v>-0.63352713833871754</v>
      </c>
      <c r="J51" s="81"/>
      <c r="K51" s="81"/>
      <c r="L51" s="81"/>
      <c r="M51" s="81"/>
      <c r="N51" s="81"/>
    </row>
    <row r="52" spans="2:14" ht="15.75" thickBot="1" x14ac:dyDescent="0.3">
      <c r="B52" s="76">
        <v>44874</v>
      </c>
      <c r="C52" s="77">
        <v>1932418</v>
      </c>
      <c r="D52" s="77">
        <v>1691526</v>
      </c>
      <c r="E52" s="77">
        <v>674633</v>
      </c>
      <c r="F52" s="77">
        <v>2072207</v>
      </c>
      <c r="G52" s="81">
        <f t="shared" si="1"/>
        <v>0.14241105368761708</v>
      </c>
      <c r="H52" s="81">
        <f t="shared" si="9"/>
        <v>1.5073276877946973</v>
      </c>
      <c r="I52" s="81">
        <f t="shared" si="3"/>
        <v>-0.67443744761020497</v>
      </c>
      <c r="J52" s="81"/>
      <c r="K52" s="81"/>
      <c r="L52" s="81"/>
      <c r="M52" s="81"/>
      <c r="N52" s="81"/>
    </row>
    <row r="53" spans="2:14" ht="15.75" thickBot="1" x14ac:dyDescent="0.3">
      <c r="B53" s="76">
        <v>44873</v>
      </c>
      <c r="C53" s="77">
        <v>1881131</v>
      </c>
      <c r="D53" s="77">
        <v>1456657</v>
      </c>
      <c r="E53" s="77">
        <v>596475</v>
      </c>
      <c r="F53" s="77">
        <v>2150003</v>
      </c>
      <c r="G53" s="81">
        <f t="shared" si="1"/>
        <v>0.29140284912645864</v>
      </c>
      <c r="H53" s="81">
        <f t="shared" si="9"/>
        <v>1.4421090573787669</v>
      </c>
      <c r="I53" s="81">
        <f t="shared" si="3"/>
        <v>-0.72257015455327278</v>
      </c>
      <c r="J53" s="81"/>
      <c r="K53" s="81"/>
      <c r="L53" s="81"/>
      <c r="M53" s="81"/>
      <c r="N53" s="81"/>
    </row>
    <row r="54" spans="2:14" ht="15.75" thickBot="1" x14ac:dyDescent="0.3">
      <c r="B54" s="76">
        <v>44872</v>
      </c>
      <c r="C54" s="77">
        <v>2208501</v>
      </c>
      <c r="D54" s="77">
        <v>1955530</v>
      </c>
      <c r="E54" s="77">
        <v>836600</v>
      </c>
      <c r="F54" s="77">
        <v>2465392</v>
      </c>
      <c r="G54" s="81">
        <f t="shared" si="1"/>
        <v>0.12936186097886515</v>
      </c>
      <c r="H54" s="81">
        <f t="shared" si="9"/>
        <v>1.337473105426727</v>
      </c>
      <c r="I54" s="81">
        <f t="shared" si="3"/>
        <v>-0.66066248288304652</v>
      </c>
      <c r="J54" s="81"/>
      <c r="K54" s="81"/>
      <c r="L54" s="81"/>
      <c r="M54" s="81"/>
      <c r="N54" s="81"/>
    </row>
    <row r="55" spans="2:14" ht="15.75" thickBot="1" x14ac:dyDescent="0.3">
      <c r="B55" s="76">
        <v>44871</v>
      </c>
      <c r="C55" s="77">
        <v>2390132</v>
      </c>
      <c r="D55" s="77">
        <v>2152721</v>
      </c>
      <c r="E55" s="77">
        <v>973020</v>
      </c>
      <c r="F55" s="77">
        <v>2356349</v>
      </c>
      <c r="G55" s="81">
        <f t="shared" si="1"/>
        <v>0.11028414736512526</v>
      </c>
      <c r="H55" s="81">
        <f t="shared" si="9"/>
        <v>1.2124118723150605</v>
      </c>
      <c r="I55" s="81">
        <f t="shared" si="3"/>
        <v>-0.58706456471431012</v>
      </c>
      <c r="J55" s="81"/>
      <c r="K55" s="81"/>
      <c r="L55" s="81"/>
      <c r="M55" s="81"/>
      <c r="N55" s="81"/>
    </row>
    <row r="56" spans="2:14" ht="15.75" thickBot="1" x14ac:dyDescent="0.3">
      <c r="B56" s="76">
        <v>44870</v>
      </c>
      <c r="C56" s="77">
        <v>1917434</v>
      </c>
      <c r="D56" s="77">
        <v>1527465</v>
      </c>
      <c r="E56" s="77">
        <v>689951</v>
      </c>
      <c r="F56" s="77">
        <v>1908805</v>
      </c>
      <c r="G56" s="81">
        <f t="shared" si="1"/>
        <v>0.25530470419944162</v>
      </c>
      <c r="H56" s="81">
        <f t="shared" si="9"/>
        <v>1.2138746084866896</v>
      </c>
      <c r="I56" s="81">
        <f t="shared" si="3"/>
        <v>-0.63854296274370614</v>
      </c>
      <c r="J56" s="81"/>
      <c r="K56" s="81"/>
      <c r="L56" s="81"/>
      <c r="M56" s="81"/>
      <c r="N56" s="81"/>
    </row>
    <row r="57" spans="2:14" ht="15.75" thickBot="1" x14ac:dyDescent="0.3">
      <c r="B57" s="76">
        <v>44869</v>
      </c>
      <c r="C57" s="77">
        <v>2307677</v>
      </c>
      <c r="D57" s="77">
        <v>2035406</v>
      </c>
      <c r="E57" s="77">
        <v>895091</v>
      </c>
      <c r="F57" s="77">
        <v>2544350</v>
      </c>
      <c r="G57" s="81">
        <f t="shared" si="1"/>
        <v>0.13376741544438797</v>
      </c>
      <c r="H57" s="81">
        <f t="shared" si="9"/>
        <v>1.2739654403853908</v>
      </c>
      <c r="I57" s="81">
        <f t="shared" si="3"/>
        <v>-0.6482044530037141</v>
      </c>
      <c r="J57" s="81"/>
      <c r="K57" s="81"/>
      <c r="L57" s="81"/>
      <c r="M57" s="81"/>
      <c r="N57" s="81"/>
    </row>
    <row r="58" spans="2:14" ht="15.75" thickBot="1" x14ac:dyDescent="0.3">
      <c r="B58" s="76">
        <v>44868</v>
      </c>
      <c r="C58" s="77">
        <v>2236880</v>
      </c>
      <c r="D58" s="77">
        <v>1940302</v>
      </c>
      <c r="E58" s="77">
        <v>867105</v>
      </c>
      <c r="F58" s="77">
        <v>2507365</v>
      </c>
      <c r="G58" s="81">
        <f t="shared" si="1"/>
        <v>0.15285146332890442</v>
      </c>
      <c r="H58" s="81">
        <f t="shared" si="9"/>
        <v>1.2376782511921856</v>
      </c>
      <c r="I58" s="81">
        <f t="shared" si="3"/>
        <v>-0.65417679516145433</v>
      </c>
      <c r="J58" s="81"/>
      <c r="K58" s="81"/>
      <c r="L58" s="81"/>
      <c r="M58" s="81"/>
      <c r="N58" s="81"/>
    </row>
    <row r="59" spans="2:14" ht="15.75" thickBot="1" x14ac:dyDescent="0.3">
      <c r="B59" s="76">
        <v>44867</v>
      </c>
      <c r="C59" s="77">
        <v>1891588</v>
      </c>
      <c r="D59" s="77">
        <v>1525948</v>
      </c>
      <c r="E59" s="77">
        <v>636533</v>
      </c>
      <c r="F59" s="77">
        <v>2147882</v>
      </c>
      <c r="G59" s="81">
        <f t="shared" si="1"/>
        <v>0.23961498032698358</v>
      </c>
      <c r="H59" s="81">
        <f t="shared" si="9"/>
        <v>1.3972802666947355</v>
      </c>
      <c r="I59" s="81">
        <f t="shared" si="3"/>
        <v>-0.70364619657876926</v>
      </c>
      <c r="J59" s="81"/>
      <c r="K59" s="81"/>
      <c r="L59" s="81"/>
      <c r="M59" s="81"/>
      <c r="N59" s="81"/>
    </row>
    <row r="60" spans="2:14" ht="15.75" thickBot="1" x14ac:dyDescent="0.3">
      <c r="B60" s="76">
        <v>44866</v>
      </c>
      <c r="C60" s="77">
        <v>1966658</v>
      </c>
      <c r="D60" s="77">
        <v>1487874</v>
      </c>
      <c r="E60" s="77">
        <v>575829</v>
      </c>
      <c r="F60" s="77">
        <v>2005101</v>
      </c>
      <c r="G60" s="81">
        <f t="shared" si="1"/>
        <v>0.32179068926535437</v>
      </c>
      <c r="H60" s="81">
        <f t="shared" si="9"/>
        <v>1.5838816732050662</v>
      </c>
      <c r="I60" s="81">
        <f t="shared" si="3"/>
        <v>-0.71281795779863466</v>
      </c>
      <c r="J60" s="81"/>
      <c r="K60" s="81"/>
      <c r="L60" s="81"/>
      <c r="M60" s="81"/>
      <c r="N60" s="81"/>
    </row>
    <row r="61" spans="2:14" ht="15.75" thickBot="1" x14ac:dyDescent="0.3">
      <c r="B61" s="76">
        <v>44865</v>
      </c>
      <c r="C61" s="77">
        <v>1919453</v>
      </c>
      <c r="D61" s="77">
        <v>1992577</v>
      </c>
      <c r="E61" s="77">
        <v>846138</v>
      </c>
      <c r="F61" s="77">
        <v>2403304</v>
      </c>
      <c r="G61" s="81">
        <f t="shared" si="1"/>
        <v>-3.6698205389302352E-2</v>
      </c>
      <c r="H61" s="81">
        <f t="shared" si="9"/>
        <v>1.3549078282738751</v>
      </c>
      <c r="I61" s="81">
        <f t="shared" si="3"/>
        <v>-0.64792718690602602</v>
      </c>
      <c r="J61" s="81"/>
      <c r="K61" s="81"/>
      <c r="L61" s="81"/>
      <c r="M61" s="81"/>
      <c r="N61" s="81"/>
    </row>
    <row r="62" spans="2:14" ht="15.75" thickBot="1" x14ac:dyDescent="0.3">
      <c r="B62" s="76">
        <v>44864</v>
      </c>
      <c r="C62" s="77">
        <v>2235846</v>
      </c>
      <c r="D62" s="77">
        <v>1845965</v>
      </c>
      <c r="E62" s="77">
        <v>936092</v>
      </c>
      <c r="F62" s="77">
        <v>2459525</v>
      </c>
      <c r="G62" s="81">
        <f t="shared" si="1"/>
        <v>0.21120714639768368</v>
      </c>
      <c r="H62" s="81">
        <f t="shared" si="9"/>
        <v>0.9719910008845285</v>
      </c>
      <c r="I62" s="81">
        <f t="shared" si="3"/>
        <v>-0.61940130716296848</v>
      </c>
      <c r="J62" s="81"/>
      <c r="K62" s="81"/>
      <c r="L62" s="81"/>
      <c r="M62" s="81"/>
      <c r="N62" s="81"/>
    </row>
    <row r="63" spans="2:14" ht="15.75" thickBot="1" x14ac:dyDescent="0.3">
      <c r="B63" s="76">
        <v>44863</v>
      </c>
      <c r="C63" s="77">
        <v>1828747</v>
      </c>
      <c r="D63" s="77">
        <v>1518020</v>
      </c>
      <c r="E63" s="77">
        <v>618476</v>
      </c>
      <c r="F63" s="77">
        <v>1836781</v>
      </c>
      <c r="G63" s="81">
        <f t="shared" si="1"/>
        <v>0.20469229654418264</v>
      </c>
      <c r="H63" s="81">
        <f t="shared" si="9"/>
        <v>1.454452557577012</v>
      </c>
      <c r="I63" s="81">
        <f t="shared" si="3"/>
        <v>-0.66328266679587822</v>
      </c>
      <c r="J63" s="81"/>
      <c r="K63" s="81"/>
      <c r="L63" s="81"/>
      <c r="M63" s="81"/>
      <c r="N63" s="81"/>
    </row>
    <row r="64" spans="2:14" ht="15.75" thickBot="1" x14ac:dyDescent="0.3">
      <c r="B64" s="76">
        <v>44862</v>
      </c>
      <c r="C64" s="77">
        <v>2315301</v>
      </c>
      <c r="D64" s="77">
        <v>1982773</v>
      </c>
      <c r="E64" s="77">
        <v>892712</v>
      </c>
      <c r="F64" s="77">
        <v>2319906</v>
      </c>
      <c r="G64" s="81">
        <f t="shared" si="1"/>
        <v>0.16770855766141657</v>
      </c>
      <c r="H64" s="81">
        <f t="shared" si="9"/>
        <v>1.2210668166217102</v>
      </c>
      <c r="I64" s="81">
        <f t="shared" si="3"/>
        <v>-0.61519475358053299</v>
      </c>
      <c r="J64" s="81"/>
      <c r="K64" s="81"/>
      <c r="L64" s="81"/>
      <c r="M64" s="81"/>
      <c r="N64" s="81"/>
    </row>
    <row r="65" spans="2:14" ht="15.75" thickBot="1" x14ac:dyDescent="0.3">
      <c r="B65" s="76">
        <v>44861</v>
      </c>
      <c r="C65" s="77">
        <v>2303121</v>
      </c>
      <c r="D65" s="77">
        <v>1927041</v>
      </c>
      <c r="E65" s="77">
        <v>873636</v>
      </c>
      <c r="F65" s="77">
        <v>2047910</v>
      </c>
      <c r="G65" s="81">
        <f t="shared" si="1"/>
        <v>0.19515931420244814</v>
      </c>
      <c r="H65" s="81">
        <f t="shared" si="9"/>
        <v>1.2057710533906572</v>
      </c>
      <c r="I65" s="81">
        <f t="shared" si="3"/>
        <v>-0.57340117485631692</v>
      </c>
      <c r="J65" s="81"/>
      <c r="K65" s="81"/>
      <c r="L65" s="81"/>
      <c r="M65" s="81"/>
      <c r="N65" s="81"/>
    </row>
    <row r="66" spans="2:14" ht="15.75" thickBot="1" x14ac:dyDescent="0.3">
      <c r="B66" s="76">
        <v>44860</v>
      </c>
      <c r="C66" s="77">
        <v>2051716</v>
      </c>
      <c r="D66" s="77">
        <v>1547075</v>
      </c>
      <c r="E66" s="77">
        <v>666957</v>
      </c>
      <c r="F66" s="77">
        <v>2066516</v>
      </c>
      <c r="G66" s="81">
        <f t="shared" si="1"/>
        <v>0.32619039154533547</v>
      </c>
      <c r="H66" s="81">
        <f t="shared" si="9"/>
        <v>1.3196023131926045</v>
      </c>
      <c r="I66" s="81">
        <f t="shared" si="3"/>
        <v>-0.6772553418410503</v>
      </c>
      <c r="J66" s="81"/>
      <c r="K66" s="81"/>
      <c r="L66" s="81"/>
      <c r="M66" s="81"/>
      <c r="N66" s="81"/>
    </row>
    <row r="67" spans="2:14" ht="15.75" thickBot="1" x14ac:dyDescent="0.3">
      <c r="B67" s="76">
        <v>44859</v>
      </c>
      <c r="C67" s="77">
        <v>1973911</v>
      </c>
      <c r="D67" s="77">
        <v>1503587</v>
      </c>
      <c r="E67" s="77">
        <v>648517</v>
      </c>
      <c r="F67" s="77">
        <v>1910506</v>
      </c>
      <c r="G67" s="81">
        <f t="shared" si="1"/>
        <v>0.31280132110745829</v>
      </c>
      <c r="H67" s="81">
        <f t="shared" si="9"/>
        <v>1.3185005173341637</v>
      </c>
      <c r="I67" s="81">
        <f t="shared" si="3"/>
        <v>-0.66055223066559332</v>
      </c>
      <c r="J67" s="81"/>
      <c r="K67" s="81"/>
      <c r="L67" s="81"/>
      <c r="M67" s="81"/>
      <c r="N67" s="81"/>
    </row>
    <row r="68" spans="2:14" ht="15.75" thickBot="1" x14ac:dyDescent="0.3">
      <c r="B68" s="76">
        <v>44858</v>
      </c>
      <c r="C68" s="77">
        <v>2318999</v>
      </c>
      <c r="D68" s="77">
        <v>1989373</v>
      </c>
      <c r="E68" s="77">
        <v>898735</v>
      </c>
      <c r="F68" s="77">
        <v>2347017</v>
      </c>
      <c r="G68" s="81">
        <f t="shared" ref="G68:G131" si="10">C68/D68-1</f>
        <v>0.16569341194436649</v>
      </c>
      <c r="H68" s="81">
        <f t="shared" ref="H68:H131" si="11">D68/E68-1</f>
        <v>1.2135256777581822</v>
      </c>
      <c r="I68" s="81">
        <f t="shared" ref="I68:I131" si="12">E68/F68-1</f>
        <v>-0.61707350223709501</v>
      </c>
      <c r="J68" s="81"/>
      <c r="K68" s="81"/>
      <c r="L68" s="81"/>
      <c r="M68" s="81"/>
      <c r="N68" s="81"/>
    </row>
    <row r="69" spans="2:14" ht="15.75" thickBot="1" x14ac:dyDescent="0.3">
      <c r="B69" s="76">
        <v>44857</v>
      </c>
      <c r="C69" s="77">
        <v>2490928</v>
      </c>
      <c r="D69" s="77">
        <v>2107839</v>
      </c>
      <c r="E69" s="77">
        <v>983745</v>
      </c>
      <c r="F69" s="77">
        <v>2478287</v>
      </c>
      <c r="G69" s="81">
        <f t="shared" si="10"/>
        <v>0.18174490556441936</v>
      </c>
      <c r="H69" s="81">
        <f t="shared" si="11"/>
        <v>1.1426680694692224</v>
      </c>
      <c r="I69" s="81">
        <f t="shared" si="12"/>
        <v>-0.60305444849607814</v>
      </c>
      <c r="J69" s="81"/>
      <c r="K69" s="81"/>
      <c r="L69" s="81"/>
      <c r="M69" s="81"/>
      <c r="N69" s="81"/>
    </row>
    <row r="70" spans="2:14" ht="15.75" thickBot="1" x14ac:dyDescent="0.3">
      <c r="B70" s="76">
        <v>44856</v>
      </c>
      <c r="C70" s="77">
        <v>2000991</v>
      </c>
      <c r="D70" s="77">
        <v>1626185</v>
      </c>
      <c r="E70" s="77">
        <v>755287</v>
      </c>
      <c r="F70" s="77">
        <v>1931971</v>
      </c>
      <c r="G70" s="81">
        <f t="shared" si="10"/>
        <v>0.23048177175413631</v>
      </c>
      <c r="H70" s="81">
        <f t="shared" si="11"/>
        <v>1.1530689658368276</v>
      </c>
      <c r="I70" s="81">
        <f t="shared" si="12"/>
        <v>-0.60905883162842511</v>
      </c>
      <c r="J70" s="81"/>
      <c r="K70" s="81"/>
      <c r="L70" s="81"/>
      <c r="M70" s="81"/>
      <c r="N70" s="81"/>
    </row>
    <row r="71" spans="2:14" ht="15.75" thickBot="1" x14ac:dyDescent="0.3">
      <c r="B71" s="76">
        <v>44855</v>
      </c>
      <c r="C71" s="77">
        <v>2430741</v>
      </c>
      <c r="D71" s="77">
        <v>2108582</v>
      </c>
      <c r="E71" s="77">
        <v>958437</v>
      </c>
      <c r="F71" s="77">
        <v>2594337</v>
      </c>
      <c r="G71" s="81">
        <f t="shared" si="10"/>
        <v>0.15278466761074494</v>
      </c>
      <c r="H71" s="81">
        <f t="shared" si="11"/>
        <v>1.2000214933271565</v>
      </c>
      <c r="I71" s="81">
        <f t="shared" si="12"/>
        <v>-0.63056572835371805</v>
      </c>
      <c r="J71" s="81"/>
      <c r="K71" s="81"/>
      <c r="L71" s="81"/>
      <c r="M71" s="81"/>
      <c r="N71" s="81"/>
    </row>
    <row r="72" spans="2:14" ht="15.75" thickBot="1" x14ac:dyDescent="0.3">
      <c r="B72" s="76">
        <v>44854</v>
      </c>
      <c r="C72" s="77">
        <v>2418287</v>
      </c>
      <c r="D72" s="77">
        <v>2046694</v>
      </c>
      <c r="E72" s="77">
        <v>934386</v>
      </c>
      <c r="F72" s="77">
        <v>2541581</v>
      </c>
      <c r="G72" s="81">
        <f t="shared" si="10"/>
        <v>0.18155767300827574</v>
      </c>
      <c r="H72" s="81">
        <f t="shared" si="11"/>
        <v>1.1904159522938058</v>
      </c>
      <c r="I72" s="81">
        <f t="shared" si="12"/>
        <v>-0.63236033004653402</v>
      </c>
      <c r="J72" s="81"/>
      <c r="K72" s="81"/>
      <c r="L72" s="81"/>
      <c r="M72" s="81"/>
      <c r="N72" s="81"/>
    </row>
    <row r="73" spans="2:14" ht="15.75" thickBot="1" x14ac:dyDescent="0.3">
      <c r="B73" s="76">
        <v>44853</v>
      </c>
      <c r="C73" s="77">
        <v>2093881</v>
      </c>
      <c r="D73" s="77">
        <v>1647089</v>
      </c>
      <c r="E73" s="77">
        <v>694150</v>
      </c>
      <c r="F73" s="77">
        <v>2245199</v>
      </c>
      <c r="G73" s="81">
        <f t="shared" si="10"/>
        <v>0.27126160152851475</v>
      </c>
      <c r="H73" s="81">
        <f t="shared" si="11"/>
        <v>1.3728142332348914</v>
      </c>
      <c r="I73" s="81">
        <f t="shared" si="12"/>
        <v>-0.69082918707873997</v>
      </c>
      <c r="J73" s="81"/>
      <c r="K73" s="81"/>
      <c r="L73" s="81"/>
      <c r="M73" s="81"/>
      <c r="N73" s="81"/>
    </row>
    <row r="74" spans="2:14" ht="15.75" thickBot="1" x14ac:dyDescent="0.3">
      <c r="B74" s="76">
        <v>44852</v>
      </c>
      <c r="C74" s="77">
        <v>2003306</v>
      </c>
      <c r="D74" s="77">
        <v>1446353</v>
      </c>
      <c r="E74" s="77">
        <v>662484</v>
      </c>
      <c r="F74" s="77">
        <v>2126637</v>
      </c>
      <c r="G74" s="81">
        <f t="shared" si="10"/>
        <v>0.3850740448562695</v>
      </c>
      <c r="H74" s="81">
        <f t="shared" si="11"/>
        <v>1.1832270666159483</v>
      </c>
      <c r="I74" s="81">
        <f t="shared" si="12"/>
        <v>-0.68848280171933429</v>
      </c>
      <c r="J74" s="81"/>
      <c r="K74" s="81"/>
      <c r="L74" s="81"/>
      <c r="M74" s="81"/>
      <c r="N74" s="81"/>
    </row>
    <row r="75" spans="2:14" ht="15.75" thickBot="1" x14ac:dyDescent="0.3">
      <c r="B75" s="76">
        <v>44851</v>
      </c>
      <c r="C75" s="77">
        <v>2357405</v>
      </c>
      <c r="D75" s="77">
        <v>2001297</v>
      </c>
      <c r="E75" s="77">
        <v>921031</v>
      </c>
      <c r="F75" s="77">
        <v>2514673</v>
      </c>
      <c r="G75" s="81">
        <f t="shared" si="10"/>
        <v>0.17793860681348139</v>
      </c>
      <c r="H75" s="81">
        <f t="shared" si="11"/>
        <v>1.172887774678594</v>
      </c>
      <c r="I75" s="81">
        <f t="shared" si="12"/>
        <v>-0.63373726921949691</v>
      </c>
      <c r="J75" s="81"/>
      <c r="K75" s="81"/>
      <c r="L75" s="81"/>
      <c r="M75" s="81"/>
      <c r="N75" s="81"/>
    </row>
    <row r="76" spans="2:14" ht="15.75" thickBot="1" x14ac:dyDescent="0.3">
      <c r="B76" s="76">
        <v>44850</v>
      </c>
      <c r="C76" s="77">
        <v>2494757</v>
      </c>
      <c r="D76" s="77">
        <v>2213296</v>
      </c>
      <c r="E76" s="77">
        <v>1031505</v>
      </c>
      <c r="F76" s="77">
        <v>2606266</v>
      </c>
      <c r="G76" s="81">
        <f t="shared" si="10"/>
        <v>0.12716825946461752</v>
      </c>
      <c r="H76" s="81">
        <f t="shared" si="11"/>
        <v>1.1456958521771585</v>
      </c>
      <c r="I76" s="81">
        <f t="shared" si="12"/>
        <v>-0.60422113475754202</v>
      </c>
      <c r="J76" s="81"/>
      <c r="K76" s="81"/>
      <c r="L76" s="81"/>
      <c r="M76" s="81"/>
      <c r="N76" s="81"/>
    </row>
    <row r="77" spans="2:14" ht="15.75" thickBot="1" x14ac:dyDescent="0.3">
      <c r="B77" s="76">
        <v>44849</v>
      </c>
      <c r="C77" s="77">
        <v>2025171</v>
      </c>
      <c r="D77" s="77">
        <v>1704466</v>
      </c>
      <c r="E77" s="77">
        <v>788743</v>
      </c>
      <c r="F77" s="77">
        <v>2049855</v>
      </c>
      <c r="G77" s="81">
        <f t="shared" si="10"/>
        <v>0.18815570389787761</v>
      </c>
      <c r="H77" s="81">
        <f t="shared" si="11"/>
        <v>1.1609903352549562</v>
      </c>
      <c r="I77" s="81">
        <f t="shared" si="12"/>
        <v>-0.61522010093396851</v>
      </c>
      <c r="J77" s="81"/>
      <c r="K77" s="81"/>
      <c r="L77" s="81"/>
      <c r="M77" s="81"/>
      <c r="N77" s="81"/>
    </row>
    <row r="78" spans="2:14" ht="15.75" thickBot="1" x14ac:dyDescent="0.3">
      <c r="B78" s="76">
        <v>44848</v>
      </c>
      <c r="C78" s="77">
        <v>2470703</v>
      </c>
      <c r="D78" s="77">
        <v>2070878</v>
      </c>
      <c r="E78" s="77">
        <v>973046</v>
      </c>
      <c r="F78" s="77">
        <v>2637667</v>
      </c>
      <c r="G78" s="81">
        <f t="shared" si="10"/>
        <v>0.19307028226674872</v>
      </c>
      <c r="H78" s="81">
        <f t="shared" si="11"/>
        <v>1.1282426524542517</v>
      </c>
      <c r="I78" s="81">
        <f t="shared" si="12"/>
        <v>-0.63109596472943696</v>
      </c>
      <c r="J78" s="81"/>
      <c r="K78" s="81"/>
      <c r="L78" s="81"/>
      <c r="M78" s="81"/>
      <c r="N78" s="81"/>
    </row>
    <row r="79" spans="2:14" ht="15.75" thickBot="1" x14ac:dyDescent="0.3">
      <c r="B79" s="76">
        <v>44847</v>
      </c>
      <c r="C79" s="77">
        <v>2396663</v>
      </c>
      <c r="D79" s="77">
        <v>2048398</v>
      </c>
      <c r="E79" s="77">
        <v>950024</v>
      </c>
      <c r="F79" s="77">
        <v>2581007</v>
      </c>
      <c r="G79" s="81">
        <f t="shared" si="10"/>
        <v>0.17001822887934859</v>
      </c>
      <c r="H79" s="81">
        <f t="shared" si="11"/>
        <v>1.1561539497949527</v>
      </c>
      <c r="I79" s="81">
        <f t="shared" si="12"/>
        <v>-0.63191730979420047</v>
      </c>
      <c r="J79" s="81"/>
      <c r="K79" s="81"/>
      <c r="L79" s="81"/>
      <c r="M79" s="81"/>
      <c r="N79" s="81"/>
    </row>
    <row r="80" spans="2:14" ht="15.75" thickBot="1" x14ac:dyDescent="0.3">
      <c r="B80" s="76">
        <v>44846</v>
      </c>
      <c r="C80" s="77">
        <v>2059308</v>
      </c>
      <c r="D80" s="77">
        <v>1641419</v>
      </c>
      <c r="E80" s="77">
        <v>717940</v>
      </c>
      <c r="F80" s="77">
        <v>2317763</v>
      </c>
      <c r="G80" s="81">
        <f t="shared" si="10"/>
        <v>0.2545900833364303</v>
      </c>
      <c r="H80" s="81">
        <f t="shared" si="11"/>
        <v>1.2862899406635653</v>
      </c>
      <c r="I80" s="81">
        <f t="shared" si="12"/>
        <v>-0.69024442965048627</v>
      </c>
      <c r="J80" s="81"/>
      <c r="K80" s="81"/>
      <c r="L80" s="81"/>
      <c r="M80" s="81"/>
      <c r="N80" s="81"/>
    </row>
    <row r="81" spans="2:14" ht="15.75" thickBot="1" x14ac:dyDescent="0.3">
      <c r="B81" s="76">
        <v>44845</v>
      </c>
      <c r="C81" s="77">
        <v>2089604</v>
      </c>
      <c r="D81" s="77">
        <v>1695970</v>
      </c>
      <c r="E81" s="77">
        <v>680894</v>
      </c>
      <c r="F81" s="77">
        <v>2313632</v>
      </c>
      <c r="G81" s="81">
        <f t="shared" si="10"/>
        <v>0.23209962440373366</v>
      </c>
      <c r="H81" s="81">
        <f t="shared" si="11"/>
        <v>1.4907988614967969</v>
      </c>
      <c r="I81" s="81">
        <f t="shared" si="12"/>
        <v>-0.70570341350742039</v>
      </c>
      <c r="J81" s="81"/>
      <c r="K81" s="81"/>
      <c r="L81" s="81"/>
      <c r="M81" s="81"/>
      <c r="N81" s="81"/>
    </row>
    <row r="82" spans="2:14" ht="15.75" thickBot="1" x14ac:dyDescent="0.3">
      <c r="B82" s="76">
        <v>44844</v>
      </c>
      <c r="C82" s="77">
        <v>2401935</v>
      </c>
      <c r="D82" s="77">
        <v>2083627</v>
      </c>
      <c r="E82" s="77">
        <v>958440</v>
      </c>
      <c r="F82" s="77">
        <v>2616771</v>
      </c>
      <c r="G82" s="81">
        <f t="shared" si="10"/>
        <v>0.15276630606149766</v>
      </c>
      <c r="H82" s="81">
        <f t="shared" si="11"/>
        <v>1.1739775051124743</v>
      </c>
      <c r="I82" s="81">
        <f t="shared" si="12"/>
        <v>-0.6337318015217992</v>
      </c>
      <c r="J82" s="81"/>
      <c r="K82" s="81"/>
      <c r="L82" s="81"/>
      <c r="M82" s="81"/>
      <c r="N82" s="81"/>
    </row>
    <row r="83" spans="2:14" ht="15.75" thickBot="1" x14ac:dyDescent="0.3">
      <c r="B83" s="76">
        <v>44843</v>
      </c>
      <c r="C83" s="77">
        <v>2424073</v>
      </c>
      <c r="D83" s="77">
        <v>2086146</v>
      </c>
      <c r="E83" s="77">
        <v>984234</v>
      </c>
      <c r="F83" s="77">
        <v>2555333</v>
      </c>
      <c r="G83" s="81">
        <f t="shared" si="10"/>
        <v>0.16198626558256235</v>
      </c>
      <c r="H83" s="81">
        <f t="shared" si="11"/>
        <v>1.1195630307426891</v>
      </c>
      <c r="I83" s="81">
        <f t="shared" si="12"/>
        <v>-0.61483141336178104</v>
      </c>
      <c r="J83" s="81"/>
      <c r="K83" s="81"/>
      <c r="L83" s="81"/>
      <c r="M83" s="81"/>
      <c r="N83" s="81"/>
    </row>
    <row r="84" spans="2:14" ht="15.75" thickBot="1" x14ac:dyDescent="0.3">
      <c r="B84" s="76">
        <v>44842</v>
      </c>
      <c r="C84" s="77">
        <v>2010107</v>
      </c>
      <c r="D84" s="77">
        <v>1645563</v>
      </c>
      <c r="E84" s="77">
        <v>769868</v>
      </c>
      <c r="F84" s="77">
        <v>2074718</v>
      </c>
      <c r="G84" s="81">
        <f t="shared" si="10"/>
        <v>0.22153147585355293</v>
      </c>
      <c r="H84" s="81">
        <f t="shared" si="11"/>
        <v>1.1374612271194544</v>
      </c>
      <c r="I84" s="81">
        <f t="shared" si="12"/>
        <v>-0.62892884719754683</v>
      </c>
      <c r="J84" s="81"/>
      <c r="K84" s="81"/>
      <c r="L84" s="81"/>
      <c r="M84" s="81"/>
      <c r="N84" s="81"/>
    </row>
    <row r="85" spans="2:14" ht="15.75" thickBot="1" x14ac:dyDescent="0.3">
      <c r="B85" s="76">
        <v>44841</v>
      </c>
      <c r="C85" s="77">
        <v>2463419</v>
      </c>
      <c r="D85" s="77">
        <v>2169783</v>
      </c>
      <c r="E85" s="77">
        <v>968545</v>
      </c>
      <c r="F85" s="77">
        <v>2688032</v>
      </c>
      <c r="G85" s="81">
        <f t="shared" si="10"/>
        <v>0.13532966199845786</v>
      </c>
      <c r="H85" s="81">
        <f t="shared" si="11"/>
        <v>1.2402500658203799</v>
      </c>
      <c r="I85" s="81">
        <f t="shared" si="12"/>
        <v>-0.63968248889894164</v>
      </c>
      <c r="J85" s="81"/>
      <c r="K85" s="81"/>
      <c r="L85" s="81"/>
      <c r="M85" s="81"/>
      <c r="N85" s="81"/>
    </row>
    <row r="86" spans="2:14" ht="15.75" thickBot="1" x14ac:dyDescent="0.3">
      <c r="B86" s="76">
        <v>44840</v>
      </c>
      <c r="C86" s="77">
        <v>2361680</v>
      </c>
      <c r="D86" s="77">
        <v>2063090</v>
      </c>
      <c r="E86" s="77">
        <v>936915</v>
      </c>
      <c r="F86" s="77">
        <v>2605291</v>
      </c>
      <c r="G86" s="81">
        <f t="shared" si="10"/>
        <v>0.1447295076802273</v>
      </c>
      <c r="H86" s="81">
        <f t="shared" si="11"/>
        <v>1.2020033834446027</v>
      </c>
      <c r="I86" s="81">
        <f t="shared" si="12"/>
        <v>-0.64037990381880561</v>
      </c>
      <c r="J86" s="81"/>
      <c r="K86" s="81"/>
      <c r="L86" s="81"/>
      <c r="M86" s="81"/>
      <c r="N86" s="81"/>
    </row>
    <row r="87" spans="2:14" ht="15.75" thickBot="1" x14ac:dyDescent="0.3">
      <c r="B87" s="76">
        <v>44839</v>
      </c>
      <c r="C87" s="77">
        <v>1979046</v>
      </c>
      <c r="D87" s="77">
        <v>1563565</v>
      </c>
      <c r="E87" s="77">
        <v>668519</v>
      </c>
      <c r="F87" s="77">
        <v>2215233</v>
      </c>
      <c r="G87" s="81">
        <f t="shared" si="10"/>
        <v>0.26572672066719316</v>
      </c>
      <c r="H87" s="81">
        <f t="shared" si="11"/>
        <v>1.3388490080311852</v>
      </c>
      <c r="I87" s="81">
        <f t="shared" si="12"/>
        <v>-0.69821729813523004</v>
      </c>
      <c r="J87" s="81"/>
      <c r="K87" s="81"/>
      <c r="L87" s="81"/>
      <c r="M87" s="81"/>
      <c r="N87" s="81"/>
    </row>
    <row r="88" spans="2:14" ht="15.75" thickBot="1" x14ac:dyDescent="0.3">
      <c r="B88" s="76">
        <v>44838</v>
      </c>
      <c r="C88" s="77">
        <v>1814207</v>
      </c>
      <c r="D88" s="77">
        <v>1390201</v>
      </c>
      <c r="E88" s="77">
        <v>590766</v>
      </c>
      <c r="F88" s="77">
        <v>2035628</v>
      </c>
      <c r="G88" s="81">
        <f t="shared" si="10"/>
        <v>0.3049961840050468</v>
      </c>
      <c r="H88" s="81">
        <f t="shared" si="11"/>
        <v>1.3532176868675583</v>
      </c>
      <c r="I88" s="81">
        <f t="shared" si="12"/>
        <v>-0.70978685693063759</v>
      </c>
      <c r="J88" s="81"/>
      <c r="K88" s="81"/>
      <c r="L88" s="81"/>
      <c r="M88" s="81"/>
      <c r="N88" s="81"/>
    </row>
    <row r="89" spans="2:14" ht="15.75" thickBot="1" x14ac:dyDescent="0.3">
      <c r="B89" s="76">
        <v>44837</v>
      </c>
      <c r="C89" s="77">
        <v>2117661</v>
      </c>
      <c r="D89" s="77">
        <v>1842054</v>
      </c>
      <c r="E89" s="77">
        <v>816838</v>
      </c>
      <c r="F89" s="77">
        <v>2400153</v>
      </c>
      <c r="G89" s="81">
        <f t="shared" si="10"/>
        <v>0.14961939226537324</v>
      </c>
      <c r="H89" s="81">
        <f t="shared" si="11"/>
        <v>1.2551032150805912</v>
      </c>
      <c r="I89" s="81">
        <f t="shared" si="12"/>
        <v>-0.65967252920959618</v>
      </c>
      <c r="J89" s="81"/>
      <c r="K89" s="81"/>
      <c r="L89" s="81"/>
      <c r="M89" s="81"/>
      <c r="N89" s="81"/>
    </row>
    <row r="90" spans="2:14" ht="15.75" thickBot="1" x14ac:dyDescent="0.3">
      <c r="B90" s="76">
        <v>44836</v>
      </c>
      <c r="C90" s="77">
        <v>2302775</v>
      </c>
      <c r="D90" s="77">
        <v>2100167</v>
      </c>
      <c r="E90" s="77">
        <v>900911</v>
      </c>
      <c r="F90" s="77">
        <v>2542118</v>
      </c>
      <c r="G90" s="81">
        <f t="shared" si="10"/>
        <v>9.6472328152951592E-2</v>
      </c>
      <c r="H90" s="81">
        <f t="shared" si="11"/>
        <v>1.3311592377049455</v>
      </c>
      <c r="I90" s="81">
        <f t="shared" si="12"/>
        <v>-0.64560614416797324</v>
      </c>
      <c r="J90" s="81"/>
      <c r="K90" s="81"/>
      <c r="L90" s="81"/>
      <c r="M90" s="81"/>
      <c r="N90" s="81"/>
    </row>
    <row r="91" spans="2:14" ht="15.75" thickBot="1" x14ac:dyDescent="0.3">
      <c r="B91" s="76">
        <v>44835</v>
      </c>
      <c r="C91" s="77">
        <v>1878241</v>
      </c>
      <c r="D91" s="77">
        <v>1534114</v>
      </c>
      <c r="E91" s="77">
        <v>677661</v>
      </c>
      <c r="F91" s="77">
        <v>1921185</v>
      </c>
      <c r="G91" s="81">
        <f t="shared" si="10"/>
        <v>0.22431644584431143</v>
      </c>
      <c r="H91" s="81">
        <f t="shared" si="11"/>
        <v>1.2638369332158703</v>
      </c>
      <c r="I91" s="81">
        <f t="shared" si="12"/>
        <v>-0.64726926350143277</v>
      </c>
      <c r="J91" s="81"/>
      <c r="K91" s="81"/>
      <c r="L91" s="81"/>
      <c r="M91" s="81"/>
      <c r="N91" s="81"/>
    </row>
    <row r="92" spans="2:14" ht="15.75" thickBot="1" x14ac:dyDescent="0.3">
      <c r="B92" s="76">
        <v>44834</v>
      </c>
      <c r="C92" s="77">
        <v>2192416</v>
      </c>
      <c r="D92" s="77">
        <v>2011794</v>
      </c>
      <c r="E92" s="77">
        <v>857186</v>
      </c>
      <c r="F92" s="77">
        <v>2526835</v>
      </c>
      <c r="G92" s="81">
        <f t="shared" si="10"/>
        <v>8.9781558151580176E-2</v>
      </c>
      <c r="H92" s="81">
        <f t="shared" si="11"/>
        <v>1.3469748689315972</v>
      </c>
      <c r="I92" s="81">
        <f t="shared" si="12"/>
        <v>-0.66076692779702673</v>
      </c>
      <c r="J92" s="81"/>
      <c r="K92" s="81"/>
      <c r="L92" s="81"/>
      <c r="M92" s="81"/>
      <c r="N92" s="81"/>
    </row>
    <row r="93" spans="2:14" ht="15.75" thickBot="1" x14ac:dyDescent="0.3">
      <c r="B93" s="76">
        <v>44833</v>
      </c>
      <c r="C93" s="77">
        <v>2048551</v>
      </c>
      <c r="D93" s="77">
        <v>1934592</v>
      </c>
      <c r="E93" s="77">
        <v>855908</v>
      </c>
      <c r="F93" s="77">
        <v>2447687</v>
      </c>
      <c r="G93" s="81">
        <f t="shared" si="10"/>
        <v>5.8905960533280455E-2</v>
      </c>
      <c r="H93" s="81">
        <f t="shared" si="11"/>
        <v>1.2602803105006615</v>
      </c>
      <c r="I93" s="81">
        <f t="shared" si="12"/>
        <v>-0.65031966914070305</v>
      </c>
      <c r="J93" s="81"/>
      <c r="K93" s="81"/>
      <c r="L93" s="81"/>
      <c r="M93" s="81"/>
      <c r="N93" s="81"/>
    </row>
    <row r="94" spans="2:14" ht="15.75" thickBot="1" x14ac:dyDescent="0.3">
      <c r="B94" s="76">
        <v>44832</v>
      </c>
      <c r="C94" s="77">
        <v>1715742</v>
      </c>
      <c r="D94" s="77">
        <v>1448369</v>
      </c>
      <c r="E94" s="77">
        <v>634046</v>
      </c>
      <c r="F94" s="77">
        <v>2082179</v>
      </c>
      <c r="G94" s="81">
        <f t="shared" si="10"/>
        <v>0.18460281875682227</v>
      </c>
      <c r="H94" s="81">
        <f t="shared" si="11"/>
        <v>1.2843279509688572</v>
      </c>
      <c r="I94" s="81">
        <f t="shared" si="12"/>
        <v>-0.69548919665408215</v>
      </c>
      <c r="J94" s="81"/>
      <c r="K94" s="81"/>
      <c r="L94" s="81"/>
      <c r="M94" s="81"/>
      <c r="N94" s="81"/>
    </row>
    <row r="95" spans="2:14" ht="15.75" thickBot="1" x14ac:dyDescent="0.3">
      <c r="B95" s="76">
        <v>44831</v>
      </c>
      <c r="C95" s="77">
        <v>1838838</v>
      </c>
      <c r="D95" s="77">
        <v>1334997</v>
      </c>
      <c r="E95" s="77">
        <v>568688</v>
      </c>
      <c r="F95" s="77">
        <v>1998980</v>
      </c>
      <c r="G95" s="81">
        <f t="shared" si="10"/>
        <v>0.37740983687603791</v>
      </c>
      <c r="H95" s="81">
        <f t="shared" si="11"/>
        <v>1.3475033761922179</v>
      </c>
      <c r="I95" s="81">
        <f t="shared" si="12"/>
        <v>-0.71551091056438776</v>
      </c>
      <c r="J95" s="81"/>
      <c r="K95" s="81"/>
      <c r="L95" s="81"/>
      <c r="M95" s="81"/>
      <c r="N95" s="81"/>
    </row>
    <row r="96" spans="2:14" ht="15.75" thickBot="1" x14ac:dyDescent="0.3">
      <c r="B96" s="76">
        <v>44830</v>
      </c>
      <c r="C96" s="77">
        <v>2178727</v>
      </c>
      <c r="D96" s="77">
        <v>1849171</v>
      </c>
      <c r="E96" s="77">
        <v>797699</v>
      </c>
      <c r="F96" s="77">
        <v>2368818</v>
      </c>
      <c r="G96" s="81">
        <f t="shared" si="10"/>
        <v>0.17821823941647374</v>
      </c>
      <c r="H96" s="81">
        <f t="shared" si="11"/>
        <v>1.3181312750799488</v>
      </c>
      <c r="I96" s="81">
        <f t="shared" si="12"/>
        <v>-0.66325019482290326</v>
      </c>
      <c r="J96" s="81"/>
      <c r="K96" s="81"/>
      <c r="L96" s="81"/>
      <c r="M96" s="81"/>
      <c r="N96" s="81"/>
    </row>
    <row r="97" spans="2:14" ht="15.75" thickBot="1" x14ac:dyDescent="0.3">
      <c r="B97" s="76">
        <v>44829</v>
      </c>
      <c r="C97" s="77">
        <v>2374616</v>
      </c>
      <c r="D97" s="77">
        <v>2102155</v>
      </c>
      <c r="E97" s="77">
        <v>873038</v>
      </c>
      <c r="F97" s="77">
        <v>2452596</v>
      </c>
      <c r="G97" s="81">
        <f t="shared" si="10"/>
        <v>0.12961032844866338</v>
      </c>
      <c r="H97" s="81">
        <f t="shared" si="11"/>
        <v>1.4078619716438459</v>
      </c>
      <c r="I97" s="81">
        <f t="shared" si="12"/>
        <v>-0.6440351366470467</v>
      </c>
      <c r="J97" s="81"/>
      <c r="K97" s="81"/>
      <c r="L97" s="81"/>
      <c r="M97" s="81"/>
      <c r="N97" s="81"/>
    </row>
    <row r="98" spans="2:14" ht="15.75" thickBot="1" x14ac:dyDescent="0.3">
      <c r="B98" s="76">
        <v>44828</v>
      </c>
      <c r="C98" s="77">
        <v>1911619</v>
      </c>
      <c r="D98" s="77">
        <v>1525438</v>
      </c>
      <c r="E98" s="77">
        <v>659350</v>
      </c>
      <c r="F98" s="77">
        <v>1966234</v>
      </c>
      <c r="G98" s="81">
        <f t="shared" si="10"/>
        <v>0.25316073154071161</v>
      </c>
      <c r="H98" s="81">
        <f t="shared" si="11"/>
        <v>1.313548191400622</v>
      </c>
      <c r="I98" s="81">
        <f t="shared" si="12"/>
        <v>-0.66466351410869717</v>
      </c>
      <c r="J98" s="81"/>
      <c r="K98" s="81"/>
      <c r="L98" s="81"/>
      <c r="M98" s="81"/>
      <c r="N98" s="81"/>
    </row>
    <row r="99" spans="2:14" ht="15.75" thickBot="1" x14ac:dyDescent="0.3">
      <c r="B99" s="76">
        <v>44827</v>
      </c>
      <c r="C99" s="77">
        <v>2424986</v>
      </c>
      <c r="D99" s="77">
        <v>2019891</v>
      </c>
      <c r="E99" s="77">
        <v>826329</v>
      </c>
      <c r="F99" s="77">
        <v>2547611</v>
      </c>
      <c r="G99" s="81">
        <f t="shared" si="10"/>
        <v>0.20055290112189228</v>
      </c>
      <c r="H99" s="81">
        <f t="shared" si="11"/>
        <v>1.4444149969322146</v>
      </c>
      <c r="I99" s="81">
        <f t="shared" si="12"/>
        <v>-0.67564553615131984</v>
      </c>
      <c r="J99" s="81"/>
      <c r="K99" s="81"/>
      <c r="L99" s="81"/>
      <c r="M99" s="81"/>
      <c r="N99" s="81"/>
    </row>
    <row r="100" spans="2:14" ht="15.75" thickBot="1" x14ac:dyDescent="0.3">
      <c r="B100" s="76">
        <v>44826</v>
      </c>
      <c r="C100" s="77">
        <v>2351488</v>
      </c>
      <c r="D100" s="77">
        <v>1904732</v>
      </c>
      <c r="E100" s="77">
        <v>826316</v>
      </c>
      <c r="F100" s="77">
        <v>2510926</v>
      </c>
      <c r="G100" s="81">
        <f t="shared" si="10"/>
        <v>0.23455058244414428</v>
      </c>
      <c r="H100" s="81">
        <f t="shared" si="11"/>
        <v>1.3050890942448166</v>
      </c>
      <c r="I100" s="81">
        <f t="shared" si="12"/>
        <v>-0.67091184686446348</v>
      </c>
      <c r="J100" s="81"/>
      <c r="K100" s="81"/>
      <c r="L100" s="81"/>
      <c r="M100" s="81"/>
      <c r="N100" s="81"/>
    </row>
    <row r="101" spans="2:14" ht="15.75" thickBot="1" x14ac:dyDescent="0.3">
      <c r="B101" s="76">
        <v>44825</v>
      </c>
      <c r="C101" s="77">
        <v>1997279</v>
      </c>
      <c r="D101" s="77">
        <v>1460478</v>
      </c>
      <c r="E101" s="77">
        <v>608726</v>
      </c>
      <c r="F101" s="77">
        <v>2188236</v>
      </c>
      <c r="G101" s="81">
        <f t="shared" si="10"/>
        <v>0.36755158242712316</v>
      </c>
      <c r="H101" s="81">
        <f t="shared" si="11"/>
        <v>1.399237095179112</v>
      </c>
      <c r="I101" s="81">
        <f t="shared" si="12"/>
        <v>-0.72181885317671401</v>
      </c>
      <c r="J101" s="81"/>
      <c r="K101" s="81"/>
      <c r="L101" s="81"/>
      <c r="M101" s="81"/>
      <c r="N101" s="81"/>
    </row>
    <row r="102" spans="2:14" ht="15.75" thickBot="1" x14ac:dyDescent="0.3">
      <c r="B102" s="76">
        <v>44824</v>
      </c>
      <c r="C102" s="77">
        <v>1892635</v>
      </c>
      <c r="D102" s="77">
        <v>1338166</v>
      </c>
      <c r="E102" s="77">
        <v>549741</v>
      </c>
      <c r="F102" s="77">
        <v>2033490</v>
      </c>
      <c r="G102" s="81">
        <f t="shared" si="10"/>
        <v>0.41434993864737257</v>
      </c>
      <c r="H102" s="81">
        <f t="shared" si="11"/>
        <v>1.43417536621791</v>
      </c>
      <c r="I102" s="81">
        <f t="shared" si="12"/>
        <v>-0.72965640352300731</v>
      </c>
      <c r="J102" s="81"/>
      <c r="K102" s="81"/>
      <c r="L102" s="81"/>
      <c r="M102" s="81"/>
      <c r="N102" s="81"/>
    </row>
    <row r="103" spans="2:14" ht="15.75" thickBot="1" x14ac:dyDescent="0.3">
      <c r="B103" s="76">
        <v>44823</v>
      </c>
      <c r="C103" s="77">
        <v>2250243</v>
      </c>
      <c r="D103" s="77">
        <v>1820152</v>
      </c>
      <c r="E103" s="77">
        <v>769936</v>
      </c>
      <c r="F103" s="77">
        <v>2431388</v>
      </c>
      <c r="G103" s="81">
        <f t="shared" si="10"/>
        <v>0.23629400181962823</v>
      </c>
      <c r="H103" s="81">
        <f t="shared" si="11"/>
        <v>1.3640302570603269</v>
      </c>
      <c r="I103" s="81">
        <f t="shared" si="12"/>
        <v>-0.68333478654990487</v>
      </c>
      <c r="J103" s="81"/>
      <c r="K103" s="81"/>
      <c r="L103" s="81"/>
      <c r="M103" s="81"/>
      <c r="N103" s="81"/>
    </row>
    <row r="104" spans="2:14" ht="15.75" thickBot="1" x14ac:dyDescent="0.3">
      <c r="B104" s="76">
        <v>44822</v>
      </c>
      <c r="C104" s="77">
        <v>2371992</v>
      </c>
      <c r="D104" s="77">
        <v>2075468</v>
      </c>
      <c r="E104" s="77">
        <v>847968</v>
      </c>
      <c r="F104" s="77">
        <v>2517826</v>
      </c>
      <c r="G104" s="81">
        <f t="shared" si="10"/>
        <v>0.14287090911543809</v>
      </c>
      <c r="H104" s="81">
        <f t="shared" si="11"/>
        <v>1.4475782104985093</v>
      </c>
      <c r="I104" s="81">
        <f t="shared" si="12"/>
        <v>-0.66321421734464581</v>
      </c>
      <c r="J104" s="81"/>
      <c r="K104" s="81"/>
      <c r="L104" s="81"/>
      <c r="M104" s="81"/>
      <c r="N104" s="81"/>
    </row>
    <row r="105" spans="2:14" ht="15.75" thickBot="1" x14ac:dyDescent="0.3">
      <c r="B105" s="76">
        <v>44821</v>
      </c>
      <c r="C105" s="77">
        <v>1881398</v>
      </c>
      <c r="D105" s="77">
        <v>1476269</v>
      </c>
      <c r="E105" s="77">
        <v>638575</v>
      </c>
      <c r="F105" s="77">
        <v>1938402</v>
      </c>
      <c r="G105" s="81">
        <f t="shared" si="10"/>
        <v>0.27442762802714138</v>
      </c>
      <c r="H105" s="81">
        <f t="shared" si="11"/>
        <v>1.3118177191402731</v>
      </c>
      <c r="I105" s="81">
        <f t="shared" si="12"/>
        <v>-0.67056627056719909</v>
      </c>
      <c r="J105" s="81"/>
      <c r="K105" s="81"/>
      <c r="L105" s="81"/>
      <c r="M105" s="81"/>
      <c r="N105" s="81"/>
    </row>
    <row r="106" spans="2:14" ht="15.75" thickBot="1" x14ac:dyDescent="0.3">
      <c r="B106" s="76">
        <v>44820</v>
      </c>
      <c r="C106" s="77">
        <v>2356832</v>
      </c>
      <c r="D106" s="77">
        <v>1942337</v>
      </c>
      <c r="E106" s="77">
        <v>812214</v>
      </c>
      <c r="F106" s="77">
        <v>2571924</v>
      </c>
      <c r="G106" s="81">
        <f t="shared" si="10"/>
        <v>0.21340014631858417</v>
      </c>
      <c r="H106" s="81">
        <f t="shared" si="11"/>
        <v>1.3914103918425438</v>
      </c>
      <c r="I106" s="81">
        <f t="shared" si="12"/>
        <v>-0.68419984416335788</v>
      </c>
      <c r="J106" s="81"/>
      <c r="K106" s="81"/>
      <c r="L106" s="81"/>
      <c r="M106" s="81"/>
      <c r="N106" s="81"/>
    </row>
    <row r="107" spans="2:14" ht="15.75" thickBot="1" x14ac:dyDescent="0.3">
      <c r="B107" s="76">
        <v>44819</v>
      </c>
      <c r="C107" s="77">
        <v>2337449</v>
      </c>
      <c r="D107" s="77">
        <v>1851345</v>
      </c>
      <c r="E107" s="77">
        <v>784746</v>
      </c>
      <c r="F107" s="77">
        <v>2455410</v>
      </c>
      <c r="G107" s="81">
        <f t="shared" si="10"/>
        <v>0.26256802486840658</v>
      </c>
      <c r="H107" s="81">
        <f t="shared" si="11"/>
        <v>1.359164621418905</v>
      </c>
      <c r="I107" s="81">
        <f t="shared" si="12"/>
        <v>-0.68040123645338246</v>
      </c>
      <c r="J107" s="81"/>
      <c r="K107" s="81"/>
      <c r="L107" s="81"/>
      <c r="M107" s="81"/>
      <c r="N107" s="81"/>
    </row>
    <row r="108" spans="2:14" ht="15.75" thickBot="1" x14ac:dyDescent="0.3">
      <c r="B108" s="76">
        <v>44818</v>
      </c>
      <c r="C108" s="77">
        <v>1968902</v>
      </c>
      <c r="D108" s="77">
        <v>1455913</v>
      </c>
      <c r="E108" s="77">
        <v>577847</v>
      </c>
      <c r="F108" s="77">
        <v>2146857</v>
      </c>
      <c r="G108" s="81">
        <f t="shared" si="10"/>
        <v>0.35234866369075624</v>
      </c>
      <c r="H108" s="81">
        <f t="shared" si="11"/>
        <v>1.5195475618978724</v>
      </c>
      <c r="I108" s="81">
        <f t="shared" si="12"/>
        <v>-0.73084047982702161</v>
      </c>
      <c r="J108" s="81"/>
      <c r="K108" s="81"/>
      <c r="L108" s="81"/>
      <c r="M108" s="81"/>
      <c r="N108" s="81"/>
    </row>
    <row r="109" spans="2:14" ht="15.75" thickBot="1" x14ac:dyDescent="0.3">
      <c r="B109" s="76">
        <v>44817</v>
      </c>
      <c r="C109" s="77">
        <v>1807768</v>
      </c>
      <c r="D109" s="77">
        <v>1271516</v>
      </c>
      <c r="E109" s="77">
        <v>522383</v>
      </c>
      <c r="F109" s="77">
        <v>2013050</v>
      </c>
      <c r="G109" s="81">
        <f t="shared" si="10"/>
        <v>0.42174223525303645</v>
      </c>
      <c r="H109" s="81">
        <f t="shared" si="11"/>
        <v>1.4340684899776601</v>
      </c>
      <c r="I109" s="81">
        <f t="shared" si="12"/>
        <v>-0.74050172623630806</v>
      </c>
      <c r="J109" s="81"/>
      <c r="K109" s="81"/>
      <c r="L109" s="81"/>
      <c r="M109" s="81"/>
      <c r="N109" s="81"/>
    </row>
    <row r="110" spans="2:14" ht="15.75" thickBot="1" x14ac:dyDescent="0.3">
      <c r="B110" s="76">
        <v>44816</v>
      </c>
      <c r="C110" s="77">
        <v>2224366</v>
      </c>
      <c r="D110" s="77">
        <v>1672895</v>
      </c>
      <c r="E110" s="77">
        <v>729558</v>
      </c>
      <c r="F110" s="77">
        <v>2405832</v>
      </c>
      <c r="G110" s="81">
        <f t="shared" si="10"/>
        <v>0.32965069535147151</v>
      </c>
      <c r="H110" s="81">
        <f t="shared" si="11"/>
        <v>1.2930253660435498</v>
      </c>
      <c r="I110" s="81">
        <f t="shared" si="12"/>
        <v>-0.69675438683997881</v>
      </c>
      <c r="J110" s="81"/>
      <c r="K110" s="81"/>
      <c r="L110" s="81"/>
      <c r="M110" s="81"/>
      <c r="N110" s="81"/>
    </row>
    <row r="111" spans="2:14" ht="15.75" thickBot="1" x14ac:dyDescent="0.3">
      <c r="B111" s="76">
        <v>44815</v>
      </c>
      <c r="C111" s="77">
        <v>2327103</v>
      </c>
      <c r="D111" s="77">
        <v>1966456</v>
      </c>
      <c r="E111" s="77">
        <v>809850</v>
      </c>
      <c r="F111" s="77">
        <v>2485134</v>
      </c>
      <c r="G111" s="81">
        <f t="shared" si="10"/>
        <v>0.18339947601166773</v>
      </c>
      <c r="H111" s="81">
        <f t="shared" si="11"/>
        <v>1.4281731184787305</v>
      </c>
      <c r="I111" s="81">
        <f t="shared" si="12"/>
        <v>-0.67412220025157599</v>
      </c>
      <c r="J111" s="81"/>
      <c r="K111" s="81"/>
      <c r="L111" s="81"/>
      <c r="M111" s="81"/>
      <c r="N111" s="81"/>
    </row>
    <row r="112" spans="2:14" ht="15.75" thickBot="1" x14ac:dyDescent="0.3">
      <c r="B112" s="76">
        <v>44814</v>
      </c>
      <c r="C112" s="77">
        <v>1821517</v>
      </c>
      <c r="D112" s="77">
        <v>1363653</v>
      </c>
      <c r="E112" s="77">
        <v>613703</v>
      </c>
      <c r="F112" s="77">
        <v>1879822</v>
      </c>
      <c r="G112" s="81">
        <f t="shared" si="10"/>
        <v>0.33576283702672161</v>
      </c>
      <c r="H112" s="81">
        <f t="shared" si="11"/>
        <v>1.2220080397195385</v>
      </c>
      <c r="I112" s="81">
        <f t="shared" si="12"/>
        <v>-0.67353132371043634</v>
      </c>
      <c r="J112" s="81"/>
      <c r="K112" s="81"/>
      <c r="L112" s="81"/>
      <c r="M112" s="81"/>
      <c r="N112" s="81"/>
    </row>
    <row r="113" spans="2:14" ht="15.75" thickBot="1" x14ac:dyDescent="0.3">
      <c r="B113" s="76">
        <v>44813</v>
      </c>
      <c r="C113" s="77">
        <v>2216798</v>
      </c>
      <c r="D113" s="77">
        <v>1792979</v>
      </c>
      <c r="E113" s="77">
        <v>731353</v>
      </c>
      <c r="F113" s="77">
        <v>2484025</v>
      </c>
      <c r="G113" s="81">
        <f t="shared" si="10"/>
        <v>0.23637700162690134</v>
      </c>
      <c r="H113" s="81">
        <f t="shared" si="11"/>
        <v>1.4515917757908969</v>
      </c>
      <c r="I113" s="81">
        <f t="shared" si="12"/>
        <v>-0.7055774398405813</v>
      </c>
      <c r="J113" s="81"/>
      <c r="K113" s="81"/>
      <c r="L113" s="81"/>
      <c r="M113" s="81"/>
      <c r="N113" s="81"/>
    </row>
    <row r="114" spans="2:14" ht="15.75" thickBot="1" x14ac:dyDescent="0.3">
      <c r="B114" s="76">
        <v>44812</v>
      </c>
      <c r="C114" s="77">
        <v>2106401</v>
      </c>
      <c r="D114" s="77">
        <v>1685668</v>
      </c>
      <c r="E114" s="77">
        <v>755051</v>
      </c>
      <c r="F114" s="77">
        <v>2449302</v>
      </c>
      <c r="G114" s="81">
        <f t="shared" si="10"/>
        <v>0.24959422614654847</v>
      </c>
      <c r="H114" s="81">
        <f t="shared" si="11"/>
        <v>1.2325220415574578</v>
      </c>
      <c r="I114" s="81">
        <f t="shared" si="12"/>
        <v>-0.69172809232997812</v>
      </c>
      <c r="J114" s="81"/>
      <c r="K114" s="81"/>
      <c r="L114" s="81"/>
      <c r="M114" s="81"/>
      <c r="N114" s="81"/>
    </row>
    <row r="115" spans="2:14" ht="15.75" thickBot="1" x14ac:dyDescent="0.3">
      <c r="B115" s="76">
        <v>44811</v>
      </c>
      <c r="C115" s="77">
        <v>1829557</v>
      </c>
      <c r="D115" s="77">
        <v>1439804</v>
      </c>
      <c r="E115" s="77">
        <v>616923</v>
      </c>
      <c r="F115" s="77">
        <v>2005867</v>
      </c>
      <c r="G115" s="81">
        <f t="shared" si="10"/>
        <v>0.2706986506496718</v>
      </c>
      <c r="H115" s="81">
        <f t="shared" si="11"/>
        <v>1.3338471737964057</v>
      </c>
      <c r="I115" s="81">
        <f t="shared" si="12"/>
        <v>-0.69244072513282284</v>
      </c>
      <c r="J115" s="81"/>
      <c r="K115" s="81"/>
      <c r="L115" s="81"/>
      <c r="M115" s="81"/>
      <c r="N115" s="81"/>
    </row>
    <row r="116" spans="2:14" ht="15.75" thickBot="1" x14ac:dyDescent="0.3">
      <c r="B116" s="76">
        <v>44810</v>
      </c>
      <c r="C116" s="77">
        <v>2079005</v>
      </c>
      <c r="D116" s="77">
        <v>1662932</v>
      </c>
      <c r="E116" s="77">
        <v>704075</v>
      </c>
      <c r="F116" s="77">
        <v>1943379</v>
      </c>
      <c r="G116" s="81">
        <f t="shared" si="10"/>
        <v>0.25020445814982217</v>
      </c>
      <c r="H116" s="81">
        <f t="shared" si="11"/>
        <v>1.361867698753684</v>
      </c>
      <c r="I116" s="81">
        <f t="shared" si="12"/>
        <v>-0.63770576917832289</v>
      </c>
      <c r="J116" s="81"/>
      <c r="K116" s="81"/>
      <c r="L116" s="81"/>
      <c r="M116" s="81"/>
      <c r="N116" s="81"/>
    </row>
    <row r="117" spans="2:14" ht="15.75" thickBot="1" x14ac:dyDescent="0.3">
      <c r="B117" s="76">
        <v>44809</v>
      </c>
      <c r="C117" s="77">
        <v>2398857</v>
      </c>
      <c r="D117" s="77">
        <v>2025556</v>
      </c>
      <c r="E117" s="77">
        <v>935308</v>
      </c>
      <c r="F117" s="77">
        <v>2292985</v>
      </c>
      <c r="G117" s="81">
        <f t="shared" si="10"/>
        <v>0.18429557119131745</v>
      </c>
      <c r="H117" s="81">
        <f t="shared" si="11"/>
        <v>1.1656566606935899</v>
      </c>
      <c r="I117" s="81">
        <f t="shared" si="12"/>
        <v>-0.59210025359956564</v>
      </c>
      <c r="J117" s="81"/>
      <c r="K117" s="81"/>
      <c r="L117" s="81"/>
      <c r="M117" s="81"/>
      <c r="N117" s="81"/>
    </row>
    <row r="118" spans="2:14" ht="15.75" thickBot="1" x14ac:dyDescent="0.3">
      <c r="B118" s="76">
        <v>44808</v>
      </c>
      <c r="C118" s="77">
        <v>1979906</v>
      </c>
      <c r="D118" s="77">
        <v>1630786</v>
      </c>
      <c r="E118" s="77">
        <v>689630</v>
      </c>
      <c r="F118" s="77">
        <v>2370003</v>
      </c>
      <c r="G118" s="81">
        <f t="shared" si="10"/>
        <v>0.21408081747083929</v>
      </c>
      <c r="H118" s="81">
        <f t="shared" si="11"/>
        <v>1.3647260124994562</v>
      </c>
      <c r="I118" s="81">
        <f t="shared" si="12"/>
        <v>-0.70901724596973081</v>
      </c>
      <c r="J118" s="81"/>
      <c r="K118" s="81"/>
      <c r="L118" s="81"/>
      <c r="M118" s="81"/>
      <c r="N118" s="81"/>
    </row>
    <row r="119" spans="2:14" ht="15.75" thickBot="1" x14ac:dyDescent="0.3">
      <c r="B119" s="76">
        <v>44807</v>
      </c>
      <c r="C119" s="77">
        <v>1903791</v>
      </c>
      <c r="D119" s="77">
        <v>1545955</v>
      </c>
      <c r="E119" s="77">
        <v>664640</v>
      </c>
      <c r="F119" s="77">
        <v>1755502</v>
      </c>
      <c r="G119" s="81">
        <f t="shared" si="10"/>
        <v>0.23146598704360732</v>
      </c>
      <c r="H119" s="81">
        <f t="shared" si="11"/>
        <v>1.326003550794415</v>
      </c>
      <c r="I119" s="81">
        <f t="shared" si="12"/>
        <v>-0.62139604511985747</v>
      </c>
      <c r="J119" s="81"/>
      <c r="K119" s="81"/>
      <c r="L119" s="81"/>
      <c r="M119" s="81"/>
      <c r="N119" s="81"/>
    </row>
    <row r="120" spans="2:14" ht="15.75" thickBot="1" x14ac:dyDescent="0.3">
      <c r="B120" s="76">
        <v>44806</v>
      </c>
      <c r="C120" s="77">
        <v>2479329</v>
      </c>
      <c r="D120" s="77">
        <v>2129999</v>
      </c>
      <c r="E120" s="77">
        <v>968673</v>
      </c>
      <c r="F120" s="77">
        <v>2198828</v>
      </c>
      <c r="G120" s="81">
        <f t="shared" si="10"/>
        <v>0.16400477183322626</v>
      </c>
      <c r="H120" s="81">
        <f t="shared" si="11"/>
        <v>1.1988834209273924</v>
      </c>
      <c r="I120" s="81">
        <f t="shared" si="12"/>
        <v>-0.559459402918282</v>
      </c>
      <c r="J120" s="81"/>
      <c r="K120" s="81"/>
      <c r="L120" s="81"/>
      <c r="M120" s="81"/>
      <c r="N120" s="81"/>
    </row>
    <row r="121" spans="2:14" ht="15.75" thickBot="1" x14ac:dyDescent="0.3">
      <c r="B121" s="76">
        <v>44805</v>
      </c>
      <c r="C121" s="77">
        <v>2312486</v>
      </c>
      <c r="D121" s="77">
        <v>1896846</v>
      </c>
      <c r="E121" s="77">
        <v>877698</v>
      </c>
      <c r="F121" s="77">
        <v>2109858</v>
      </c>
      <c r="G121" s="81">
        <f t="shared" si="10"/>
        <v>0.21912163665368722</v>
      </c>
      <c r="H121" s="81">
        <f t="shared" si="11"/>
        <v>1.1611602168399608</v>
      </c>
      <c r="I121" s="81">
        <f t="shared" si="12"/>
        <v>-0.5840013877711201</v>
      </c>
      <c r="J121" s="81"/>
      <c r="K121" s="81"/>
      <c r="L121" s="81"/>
      <c r="M121" s="81"/>
      <c r="N121" s="81"/>
    </row>
    <row r="122" spans="2:14" ht="15.75" thickBot="1" x14ac:dyDescent="0.3">
      <c r="B122" s="76">
        <v>44804</v>
      </c>
      <c r="C122" s="77">
        <v>1989119</v>
      </c>
      <c r="D122" s="77">
        <v>1465197</v>
      </c>
      <c r="E122" s="77">
        <v>578131</v>
      </c>
      <c r="F122" s="77">
        <v>1889044</v>
      </c>
      <c r="G122" s="81">
        <f t="shared" si="10"/>
        <v>0.35757785471851222</v>
      </c>
      <c r="H122" s="81">
        <f t="shared" si="11"/>
        <v>1.5343685081754828</v>
      </c>
      <c r="I122" s="81">
        <f t="shared" si="12"/>
        <v>-0.69395577869017344</v>
      </c>
      <c r="J122" s="81"/>
      <c r="K122" s="81"/>
      <c r="L122" s="81"/>
      <c r="M122" s="81"/>
      <c r="N122" s="81"/>
    </row>
    <row r="123" spans="2:14" ht="15.75" thickBot="1" x14ac:dyDescent="0.3">
      <c r="B123" s="76">
        <v>44803</v>
      </c>
      <c r="C123" s="77">
        <v>1758344</v>
      </c>
      <c r="D123" s="77">
        <v>1345064</v>
      </c>
      <c r="E123" s="77">
        <v>516068</v>
      </c>
      <c r="F123" s="77">
        <v>2037750</v>
      </c>
      <c r="G123" s="81">
        <f t="shared" si="10"/>
        <v>0.30725675506890382</v>
      </c>
      <c r="H123" s="81">
        <f t="shared" si="11"/>
        <v>1.6063697032174056</v>
      </c>
      <c r="I123" s="81">
        <f t="shared" si="12"/>
        <v>-0.74674616611458711</v>
      </c>
      <c r="J123" s="81"/>
      <c r="K123" s="81"/>
      <c r="L123" s="81"/>
      <c r="M123" s="81"/>
      <c r="N123" s="81"/>
    </row>
    <row r="124" spans="2:14" ht="15.75" thickBot="1" x14ac:dyDescent="0.3">
      <c r="B124" s="76">
        <v>44802</v>
      </c>
      <c r="C124" s="77">
        <v>2095071</v>
      </c>
      <c r="D124" s="77">
        <v>1629475</v>
      </c>
      <c r="E124" s="77">
        <v>711178</v>
      </c>
      <c r="F124" s="77">
        <v>2278159</v>
      </c>
      <c r="G124" s="81">
        <f t="shared" si="10"/>
        <v>0.28573374860000911</v>
      </c>
      <c r="H124" s="81">
        <f t="shared" si="11"/>
        <v>1.2912336995801335</v>
      </c>
      <c r="I124" s="81">
        <f t="shared" si="12"/>
        <v>-0.68782775916869721</v>
      </c>
      <c r="J124" s="81"/>
      <c r="K124" s="81"/>
      <c r="L124" s="81"/>
      <c r="M124" s="81"/>
      <c r="N124" s="81"/>
    </row>
    <row r="125" spans="2:14" ht="15.75" thickBot="1" x14ac:dyDescent="0.3">
      <c r="B125" s="76">
        <v>44801</v>
      </c>
      <c r="C125" s="77">
        <v>2311805</v>
      </c>
      <c r="D125" s="77">
        <v>1900658</v>
      </c>
      <c r="E125" s="77">
        <v>807695</v>
      </c>
      <c r="F125" s="77">
        <v>1887845</v>
      </c>
      <c r="G125" s="81">
        <f t="shared" si="10"/>
        <v>0.21631824347147144</v>
      </c>
      <c r="H125" s="81">
        <f t="shared" si="11"/>
        <v>1.3531877750883687</v>
      </c>
      <c r="I125" s="81">
        <f t="shared" si="12"/>
        <v>-0.5721603203652843</v>
      </c>
      <c r="J125" s="81"/>
      <c r="K125" s="81"/>
      <c r="L125" s="81"/>
      <c r="M125" s="81"/>
      <c r="N125" s="81"/>
    </row>
    <row r="126" spans="2:14" ht="15.75" thickBot="1" x14ac:dyDescent="0.3">
      <c r="B126" s="76">
        <v>44800</v>
      </c>
      <c r="C126" s="77">
        <v>1862084</v>
      </c>
      <c r="D126" s="77">
        <v>1511294</v>
      </c>
      <c r="E126" s="77">
        <v>591734</v>
      </c>
      <c r="F126" s="77">
        <v>1954902</v>
      </c>
      <c r="G126" s="81">
        <f t="shared" si="10"/>
        <v>0.23211234875543729</v>
      </c>
      <c r="H126" s="81">
        <f t="shared" si="11"/>
        <v>1.5540090648838838</v>
      </c>
      <c r="I126" s="81">
        <f t="shared" si="12"/>
        <v>-0.69730758882030908</v>
      </c>
      <c r="J126" s="81"/>
      <c r="K126" s="81"/>
      <c r="L126" s="81"/>
      <c r="M126" s="81"/>
      <c r="N126" s="81"/>
    </row>
    <row r="127" spans="2:14" ht="15.75" thickBot="1" x14ac:dyDescent="0.3">
      <c r="B127" s="76">
        <v>44799</v>
      </c>
      <c r="C127" s="77">
        <v>2271423</v>
      </c>
      <c r="D127" s="77">
        <v>1853622</v>
      </c>
      <c r="E127" s="77">
        <v>738873</v>
      </c>
      <c r="F127" s="77">
        <v>2658558</v>
      </c>
      <c r="G127" s="81">
        <f t="shared" si="10"/>
        <v>0.22539708743206543</v>
      </c>
      <c r="H127" s="81">
        <f t="shared" si="11"/>
        <v>1.5087153001936735</v>
      </c>
      <c r="I127" s="81">
        <f t="shared" si="12"/>
        <v>-0.72207753225620808</v>
      </c>
      <c r="J127" s="81"/>
      <c r="K127" s="81"/>
      <c r="L127" s="81"/>
      <c r="M127" s="81"/>
      <c r="N127" s="81"/>
    </row>
    <row r="128" spans="2:14" ht="15.75" thickBot="1" x14ac:dyDescent="0.3">
      <c r="B128" s="76">
        <v>44798</v>
      </c>
      <c r="C128" s="77">
        <v>2255206</v>
      </c>
      <c r="D128" s="77">
        <v>1826310</v>
      </c>
      <c r="E128" s="77">
        <v>721060</v>
      </c>
      <c r="F128" s="77">
        <v>2561109</v>
      </c>
      <c r="G128" s="81">
        <f t="shared" si="10"/>
        <v>0.2348429346605998</v>
      </c>
      <c r="H128" s="81">
        <f t="shared" si="11"/>
        <v>1.5328128033728121</v>
      </c>
      <c r="I128" s="81">
        <f t="shared" si="12"/>
        <v>-0.71845790241649221</v>
      </c>
      <c r="J128" s="81"/>
      <c r="K128" s="81"/>
      <c r="L128" s="81"/>
      <c r="M128" s="81"/>
      <c r="N128" s="81"/>
    </row>
    <row r="129" spans="2:14" ht="15.75" thickBot="1" x14ac:dyDescent="0.3">
      <c r="B129" s="76">
        <v>44797</v>
      </c>
      <c r="C129" s="77">
        <v>1984006</v>
      </c>
      <c r="D129" s="77">
        <v>1539707</v>
      </c>
      <c r="E129" s="77">
        <v>540043</v>
      </c>
      <c r="F129" s="77">
        <v>2188688</v>
      </c>
      <c r="G129" s="81">
        <f t="shared" si="10"/>
        <v>0.28856074564836032</v>
      </c>
      <c r="H129" s="81">
        <f t="shared" si="11"/>
        <v>1.8510822286373494</v>
      </c>
      <c r="I129" s="81">
        <f t="shared" si="12"/>
        <v>-0.75325720248843142</v>
      </c>
      <c r="J129" s="81"/>
      <c r="K129" s="81"/>
      <c r="L129" s="81"/>
      <c r="M129" s="81"/>
      <c r="N129" s="81"/>
    </row>
    <row r="130" spans="2:14" ht="15.75" thickBot="1" x14ac:dyDescent="0.3">
      <c r="B130" s="76">
        <v>44796</v>
      </c>
      <c r="C130" s="77">
        <v>1941786</v>
      </c>
      <c r="D130" s="77">
        <v>1468219</v>
      </c>
      <c r="E130" s="77">
        <v>523186</v>
      </c>
      <c r="F130" s="77">
        <v>2015088</v>
      </c>
      <c r="G130" s="81">
        <f t="shared" si="10"/>
        <v>0.32254520613069304</v>
      </c>
      <c r="H130" s="81">
        <f t="shared" si="11"/>
        <v>1.8063040677693976</v>
      </c>
      <c r="I130" s="81">
        <f t="shared" si="12"/>
        <v>-0.74036568130027081</v>
      </c>
      <c r="J130" s="81"/>
      <c r="K130" s="81"/>
      <c r="L130" s="81"/>
      <c r="M130" s="81"/>
      <c r="N130" s="81"/>
    </row>
    <row r="131" spans="2:14" ht="15.75" thickBot="1" x14ac:dyDescent="0.3">
      <c r="B131" s="76">
        <v>44795</v>
      </c>
      <c r="C131" s="77">
        <v>2239357</v>
      </c>
      <c r="D131" s="77">
        <v>1820355</v>
      </c>
      <c r="E131" s="77">
        <v>726788</v>
      </c>
      <c r="F131" s="77">
        <v>2358007</v>
      </c>
      <c r="G131" s="81">
        <f t="shared" si="10"/>
        <v>0.23017598215732638</v>
      </c>
      <c r="H131" s="81">
        <f t="shared" si="11"/>
        <v>1.5046574792098935</v>
      </c>
      <c r="I131" s="81">
        <f t="shared" si="12"/>
        <v>-0.69177869276893578</v>
      </c>
      <c r="J131" s="81"/>
      <c r="K131" s="81"/>
      <c r="L131" s="81"/>
      <c r="M131" s="81"/>
      <c r="N131" s="81"/>
    </row>
    <row r="132" spans="2:14" ht="15.75" thickBot="1" x14ac:dyDescent="0.3">
      <c r="B132" s="76">
        <v>44794</v>
      </c>
      <c r="C132" s="77">
        <v>2343407</v>
      </c>
      <c r="D132" s="77">
        <v>1965020</v>
      </c>
      <c r="E132" s="77">
        <v>841806</v>
      </c>
      <c r="F132" s="77">
        <v>2493162</v>
      </c>
      <c r="G132" s="81">
        <f t="shared" ref="G132:G195" si="13">C132/D132-1</f>
        <v>0.19256139886616941</v>
      </c>
      <c r="H132" s="81">
        <f t="shared" ref="H132:H195" si="14">D132/E132-1</f>
        <v>1.3342907985925496</v>
      </c>
      <c r="I132" s="81">
        <f t="shared" ref="I132:I195" si="15">E132/F132-1</f>
        <v>-0.66235407085460152</v>
      </c>
      <c r="J132" s="81"/>
      <c r="K132" s="81"/>
      <c r="L132" s="81"/>
      <c r="M132" s="81"/>
      <c r="N132" s="81"/>
    </row>
    <row r="133" spans="2:14" ht="15.75" thickBot="1" x14ac:dyDescent="0.3">
      <c r="B133" s="76">
        <v>44793</v>
      </c>
      <c r="C133" s="77">
        <v>2001650</v>
      </c>
      <c r="D133" s="77">
        <v>1685462</v>
      </c>
      <c r="E133" s="77">
        <v>625822</v>
      </c>
      <c r="F133" s="77">
        <v>2039233</v>
      </c>
      <c r="G133" s="81">
        <f t="shared" si="13"/>
        <v>0.18759722853437211</v>
      </c>
      <c r="H133" s="81">
        <f t="shared" si="14"/>
        <v>1.6931971071646572</v>
      </c>
      <c r="I133" s="81">
        <f t="shared" si="15"/>
        <v>-0.69310912485233422</v>
      </c>
      <c r="J133" s="81"/>
      <c r="K133" s="81"/>
      <c r="L133" s="81"/>
      <c r="M133" s="81"/>
      <c r="N133" s="81"/>
    </row>
    <row r="134" spans="2:14" ht="15.75" thickBot="1" x14ac:dyDescent="0.3">
      <c r="B134" s="76">
        <v>44792</v>
      </c>
      <c r="C134" s="77">
        <v>2301271</v>
      </c>
      <c r="D134" s="77">
        <v>1990608</v>
      </c>
      <c r="E134" s="77">
        <v>764468</v>
      </c>
      <c r="F134" s="77">
        <v>2559244</v>
      </c>
      <c r="G134" s="81">
        <f t="shared" si="13"/>
        <v>0.1560643783205935</v>
      </c>
      <c r="H134" s="81">
        <f t="shared" si="14"/>
        <v>1.6039127864083258</v>
      </c>
      <c r="I134" s="81">
        <f t="shared" si="15"/>
        <v>-0.7012914751387519</v>
      </c>
      <c r="J134" s="81"/>
      <c r="K134" s="81"/>
      <c r="L134" s="81"/>
      <c r="M134" s="81"/>
      <c r="N134" s="81"/>
    </row>
    <row r="135" spans="2:14" ht="15.75" thickBot="1" x14ac:dyDescent="0.3">
      <c r="B135" s="76">
        <v>44791</v>
      </c>
      <c r="C135" s="77">
        <v>2320885</v>
      </c>
      <c r="D135" s="77">
        <v>1945026</v>
      </c>
      <c r="E135" s="77">
        <v>772380</v>
      </c>
      <c r="F135" s="77">
        <v>2533184</v>
      </c>
      <c r="G135" s="81">
        <f t="shared" si="13"/>
        <v>0.19324111862772009</v>
      </c>
      <c r="H135" s="81">
        <f t="shared" si="14"/>
        <v>1.5182241901654625</v>
      </c>
      <c r="I135" s="81">
        <f t="shared" si="15"/>
        <v>-0.69509518455824759</v>
      </c>
      <c r="J135" s="81"/>
      <c r="K135" s="81"/>
      <c r="L135" s="81"/>
      <c r="M135" s="81"/>
      <c r="N135" s="81"/>
    </row>
    <row r="136" spans="2:14" ht="15.75" thickBot="1" x14ac:dyDescent="0.3">
      <c r="B136" s="76">
        <v>44790</v>
      </c>
      <c r="C136" s="77">
        <v>2044346</v>
      </c>
      <c r="D136" s="77">
        <v>1678231</v>
      </c>
      <c r="E136" s="77">
        <v>586718</v>
      </c>
      <c r="F136" s="77">
        <v>2306838</v>
      </c>
      <c r="G136" s="81">
        <f t="shared" si="13"/>
        <v>0.21815530758280599</v>
      </c>
      <c r="H136" s="81">
        <f t="shared" si="14"/>
        <v>1.8603707402874976</v>
      </c>
      <c r="I136" s="81">
        <f t="shared" si="15"/>
        <v>-0.74566137717516356</v>
      </c>
      <c r="J136" s="81"/>
      <c r="K136" s="81"/>
      <c r="L136" s="81"/>
      <c r="M136" s="81"/>
      <c r="N136" s="81"/>
    </row>
    <row r="137" spans="2:14" ht="15.75" thickBot="1" x14ac:dyDescent="0.3">
      <c r="B137" s="76">
        <v>44789</v>
      </c>
      <c r="C137" s="77">
        <v>1992395</v>
      </c>
      <c r="D137" s="77">
        <v>1607238</v>
      </c>
      <c r="E137" s="77">
        <v>565946</v>
      </c>
      <c r="F137" s="77">
        <v>2247446</v>
      </c>
      <c r="G137" s="81">
        <f t="shared" si="13"/>
        <v>0.23963905781222206</v>
      </c>
      <c r="H137" s="81">
        <f t="shared" si="14"/>
        <v>1.8399140554045794</v>
      </c>
      <c r="I137" s="81">
        <f t="shared" si="15"/>
        <v>-0.74818260371995593</v>
      </c>
      <c r="J137" s="81"/>
      <c r="K137" s="81"/>
      <c r="L137" s="81"/>
      <c r="M137" s="81"/>
      <c r="N137" s="81"/>
    </row>
    <row r="138" spans="2:14" ht="15.75" thickBot="1" x14ac:dyDescent="0.3">
      <c r="B138" s="76">
        <v>44788</v>
      </c>
      <c r="C138" s="77">
        <v>2232631</v>
      </c>
      <c r="D138" s="77">
        <v>1980585</v>
      </c>
      <c r="E138" s="77">
        <v>773319</v>
      </c>
      <c r="F138" s="77">
        <v>2576965</v>
      </c>
      <c r="G138" s="81">
        <f t="shared" si="13"/>
        <v>0.12725836053489248</v>
      </c>
      <c r="H138" s="81">
        <f t="shared" si="14"/>
        <v>1.5611487626710323</v>
      </c>
      <c r="I138" s="81">
        <f t="shared" si="15"/>
        <v>-0.69991094174736568</v>
      </c>
      <c r="J138" s="81"/>
      <c r="K138" s="81"/>
      <c r="L138" s="81"/>
      <c r="M138" s="81"/>
      <c r="N138" s="81"/>
    </row>
    <row r="139" spans="2:14" ht="15.75" thickBot="1" x14ac:dyDescent="0.3">
      <c r="B139" s="76">
        <v>44787</v>
      </c>
      <c r="C139" s="77">
        <v>2354846</v>
      </c>
      <c r="D139" s="77">
        <v>2114166</v>
      </c>
      <c r="E139" s="77">
        <v>862949</v>
      </c>
      <c r="F139" s="77">
        <v>2584444</v>
      </c>
      <c r="G139" s="81">
        <f t="shared" si="13"/>
        <v>0.11384158103006103</v>
      </c>
      <c r="H139" s="81">
        <f t="shared" si="14"/>
        <v>1.4499315718541883</v>
      </c>
      <c r="I139" s="81">
        <f t="shared" si="15"/>
        <v>-0.66609878178826865</v>
      </c>
      <c r="J139" s="81"/>
      <c r="K139" s="81"/>
      <c r="L139" s="81"/>
      <c r="M139" s="81"/>
      <c r="N139" s="81"/>
    </row>
    <row r="140" spans="2:14" ht="15.75" thickBot="1" x14ac:dyDescent="0.3">
      <c r="B140" s="76">
        <v>44786</v>
      </c>
      <c r="C140" s="77">
        <v>2049365</v>
      </c>
      <c r="D140" s="77">
        <v>1811767</v>
      </c>
      <c r="E140" s="77">
        <v>689895</v>
      </c>
      <c r="F140" s="77">
        <v>2171962</v>
      </c>
      <c r="G140" s="81">
        <f t="shared" si="13"/>
        <v>0.13114158719084745</v>
      </c>
      <c r="H140" s="81">
        <f t="shared" si="14"/>
        <v>1.6261489067176891</v>
      </c>
      <c r="I140" s="81">
        <f t="shared" si="15"/>
        <v>-0.68236322734928145</v>
      </c>
      <c r="J140" s="81"/>
      <c r="K140" s="81"/>
      <c r="L140" s="81"/>
      <c r="M140" s="81"/>
      <c r="N140" s="81"/>
    </row>
    <row r="141" spans="2:14" ht="15.75" thickBot="1" x14ac:dyDescent="0.3">
      <c r="B141" s="76">
        <v>44785</v>
      </c>
      <c r="C141" s="77">
        <v>2350036</v>
      </c>
      <c r="D141" s="77">
        <v>2065379</v>
      </c>
      <c r="E141" s="77">
        <v>783744</v>
      </c>
      <c r="F141" s="77">
        <v>2627564</v>
      </c>
      <c r="G141" s="81">
        <f t="shared" si="13"/>
        <v>0.13782313076679875</v>
      </c>
      <c r="H141" s="81">
        <f t="shared" si="14"/>
        <v>1.6352724869345092</v>
      </c>
      <c r="I141" s="81">
        <f t="shared" si="15"/>
        <v>-0.70172220353148385</v>
      </c>
      <c r="J141" s="81"/>
      <c r="K141" s="81"/>
      <c r="L141" s="81"/>
      <c r="M141" s="81"/>
      <c r="N141" s="81"/>
    </row>
    <row r="142" spans="2:14" ht="15.75" thickBot="1" x14ac:dyDescent="0.3">
      <c r="B142" s="76">
        <v>44784</v>
      </c>
      <c r="C142" s="77">
        <v>2327062</v>
      </c>
      <c r="D142" s="77">
        <v>2045301</v>
      </c>
      <c r="E142" s="77">
        <v>761821</v>
      </c>
      <c r="F142" s="77">
        <v>2602446</v>
      </c>
      <c r="G142" s="81">
        <f t="shared" si="13"/>
        <v>0.13776016341848951</v>
      </c>
      <c r="H142" s="81">
        <f t="shared" si="14"/>
        <v>1.6847527175018802</v>
      </c>
      <c r="I142" s="81">
        <f t="shared" si="15"/>
        <v>-0.70726731697795076</v>
      </c>
      <c r="J142" s="81"/>
      <c r="K142" s="81"/>
      <c r="L142" s="81"/>
      <c r="M142" s="81"/>
      <c r="N142" s="81"/>
    </row>
    <row r="143" spans="2:14" ht="15.75" thickBot="1" x14ac:dyDescent="0.3">
      <c r="B143" s="76">
        <v>44783</v>
      </c>
      <c r="C143" s="77">
        <v>2103152</v>
      </c>
      <c r="D143" s="77">
        <v>1761348</v>
      </c>
      <c r="E143" s="77">
        <v>590749</v>
      </c>
      <c r="F143" s="77">
        <v>2391906</v>
      </c>
      <c r="G143" s="81">
        <f t="shared" si="13"/>
        <v>0.19405818725203661</v>
      </c>
      <c r="H143" s="81">
        <f t="shared" si="14"/>
        <v>1.9815505400770888</v>
      </c>
      <c r="I143" s="81">
        <f t="shared" si="15"/>
        <v>-0.75302164884405998</v>
      </c>
      <c r="J143" s="81"/>
      <c r="K143" s="81"/>
      <c r="L143" s="81"/>
      <c r="M143" s="81"/>
      <c r="N143" s="81"/>
    </row>
    <row r="144" spans="2:14" ht="15.75" thickBot="1" x14ac:dyDescent="0.3">
      <c r="B144" s="76">
        <v>44782</v>
      </c>
      <c r="C144" s="77">
        <v>2029681</v>
      </c>
      <c r="D144" s="77">
        <v>1727075</v>
      </c>
      <c r="E144" s="77">
        <v>559420</v>
      </c>
      <c r="F144" s="77">
        <v>2306829</v>
      </c>
      <c r="G144" s="81">
        <f t="shared" si="13"/>
        <v>0.17521300464658451</v>
      </c>
      <c r="H144" s="81">
        <f t="shared" si="14"/>
        <v>2.0872600193057096</v>
      </c>
      <c r="I144" s="81">
        <f t="shared" si="15"/>
        <v>-0.75749394515154789</v>
      </c>
      <c r="J144" s="81"/>
      <c r="K144" s="81"/>
      <c r="L144" s="81"/>
      <c r="M144" s="81"/>
      <c r="N144" s="81"/>
    </row>
    <row r="145" spans="2:14" ht="15.75" thickBot="1" x14ac:dyDescent="0.3">
      <c r="B145" s="76">
        <v>44781</v>
      </c>
      <c r="C145" s="77">
        <v>2329072</v>
      </c>
      <c r="D145" s="77">
        <v>2022858</v>
      </c>
      <c r="E145" s="77">
        <v>761861</v>
      </c>
      <c r="F145" s="77">
        <v>2567986</v>
      </c>
      <c r="G145" s="81">
        <f t="shared" si="13"/>
        <v>0.15137691325836999</v>
      </c>
      <c r="H145" s="81">
        <f t="shared" si="14"/>
        <v>1.6551536303866454</v>
      </c>
      <c r="I145" s="81">
        <f t="shared" si="15"/>
        <v>-0.70332353836819983</v>
      </c>
      <c r="J145" s="81"/>
      <c r="K145" s="81"/>
      <c r="L145" s="81"/>
      <c r="M145" s="81"/>
      <c r="N145" s="81"/>
    </row>
    <row r="146" spans="2:14" ht="15.75" thickBot="1" x14ac:dyDescent="0.3">
      <c r="B146" s="76">
        <v>44780</v>
      </c>
      <c r="C146" s="77">
        <v>2434927</v>
      </c>
      <c r="D146" s="77">
        <v>2168264</v>
      </c>
      <c r="E146" s="77">
        <v>831789</v>
      </c>
      <c r="F146" s="77">
        <v>2647897</v>
      </c>
      <c r="G146" s="81">
        <f t="shared" si="13"/>
        <v>0.1229845627654198</v>
      </c>
      <c r="H146" s="81">
        <f t="shared" si="14"/>
        <v>1.6067476246980905</v>
      </c>
      <c r="I146" s="81">
        <f t="shared" si="15"/>
        <v>-0.68586806813104895</v>
      </c>
      <c r="J146" s="81"/>
      <c r="K146" s="81"/>
      <c r="L146" s="81"/>
      <c r="M146" s="81"/>
      <c r="N146" s="81"/>
    </row>
    <row r="147" spans="2:14" ht="15.75" thickBot="1" x14ac:dyDescent="0.3">
      <c r="B147" s="76">
        <v>44779</v>
      </c>
      <c r="C147" s="77">
        <v>2169631</v>
      </c>
      <c r="D147" s="77">
        <v>1925641</v>
      </c>
      <c r="E147" s="77">
        <v>683212</v>
      </c>
      <c r="F147" s="77">
        <v>2290340</v>
      </c>
      <c r="G147" s="81">
        <f t="shared" si="13"/>
        <v>0.12670586054202215</v>
      </c>
      <c r="H147" s="81">
        <f t="shared" si="14"/>
        <v>1.8185116771953656</v>
      </c>
      <c r="I147" s="81">
        <f t="shared" si="15"/>
        <v>-0.70169843778652952</v>
      </c>
      <c r="J147" s="81"/>
      <c r="K147" s="81"/>
      <c r="L147" s="81"/>
      <c r="M147" s="81"/>
      <c r="N147" s="81"/>
    </row>
    <row r="148" spans="2:14" ht="15.75" thickBot="1" x14ac:dyDescent="0.3">
      <c r="B148" s="76">
        <v>44778</v>
      </c>
      <c r="C148" s="77">
        <v>2396295</v>
      </c>
      <c r="D148" s="77">
        <v>2109091</v>
      </c>
      <c r="E148" s="77">
        <v>762547</v>
      </c>
      <c r="F148" s="77">
        <v>2725000</v>
      </c>
      <c r="G148" s="81">
        <f t="shared" si="13"/>
        <v>0.13617430447524548</v>
      </c>
      <c r="H148" s="81">
        <f t="shared" si="14"/>
        <v>1.7658504983955088</v>
      </c>
      <c r="I148" s="81">
        <f t="shared" si="15"/>
        <v>-0.72016623853211015</v>
      </c>
      <c r="J148" s="81"/>
      <c r="K148" s="81"/>
      <c r="L148" s="81"/>
      <c r="M148" s="81"/>
      <c r="N148" s="81"/>
    </row>
    <row r="149" spans="2:14" ht="15.75" thickBot="1" x14ac:dyDescent="0.3">
      <c r="B149" s="76">
        <v>44777</v>
      </c>
      <c r="C149" s="77">
        <v>2345429</v>
      </c>
      <c r="D149" s="77">
        <v>2063720</v>
      </c>
      <c r="E149" s="77">
        <v>743599</v>
      </c>
      <c r="F149" s="77">
        <v>2707986</v>
      </c>
      <c r="G149" s="81">
        <f t="shared" si="13"/>
        <v>0.13650543678405991</v>
      </c>
      <c r="H149" s="81">
        <f t="shared" si="14"/>
        <v>1.7753130383445916</v>
      </c>
      <c r="I149" s="81">
        <f t="shared" si="15"/>
        <v>-0.72540515349783941</v>
      </c>
      <c r="J149" s="81"/>
      <c r="K149" s="81"/>
      <c r="L149" s="81"/>
      <c r="M149" s="81"/>
      <c r="N149" s="81"/>
    </row>
    <row r="150" spans="2:14" ht="15.75" thickBot="1" x14ac:dyDescent="0.3">
      <c r="B150" s="76">
        <v>44776</v>
      </c>
      <c r="C150" s="77">
        <v>2105975</v>
      </c>
      <c r="D150" s="77">
        <v>1855299</v>
      </c>
      <c r="E150" s="77">
        <v>595739</v>
      </c>
      <c r="F150" s="77">
        <v>2430094</v>
      </c>
      <c r="G150" s="81">
        <f t="shared" si="13"/>
        <v>0.13511353156553207</v>
      </c>
      <c r="H150" s="81">
        <f t="shared" si="14"/>
        <v>2.1142815897565881</v>
      </c>
      <c r="I150" s="81">
        <f t="shared" si="15"/>
        <v>-0.75484940088737307</v>
      </c>
      <c r="J150" s="81"/>
      <c r="K150" s="81"/>
      <c r="L150" s="81"/>
      <c r="M150" s="81"/>
      <c r="N150" s="81"/>
    </row>
    <row r="151" spans="2:14" ht="15.75" thickBot="1" x14ac:dyDescent="0.3">
      <c r="B151" s="76">
        <v>44775</v>
      </c>
      <c r="C151" s="77">
        <v>2044931</v>
      </c>
      <c r="D151" s="77">
        <v>1797120</v>
      </c>
      <c r="E151" s="77">
        <v>543601</v>
      </c>
      <c r="F151" s="77">
        <v>2387115</v>
      </c>
      <c r="G151" s="81">
        <f t="shared" si="13"/>
        <v>0.13789340722934473</v>
      </c>
      <c r="H151" s="81">
        <f t="shared" si="14"/>
        <v>2.3059541833072421</v>
      </c>
      <c r="I151" s="81">
        <f t="shared" si="15"/>
        <v>-0.77227699545266981</v>
      </c>
      <c r="J151" s="81"/>
      <c r="K151" s="81"/>
      <c r="L151" s="81"/>
      <c r="M151" s="81"/>
      <c r="N151" s="81"/>
    </row>
    <row r="152" spans="2:14" ht="15.75" thickBot="1" x14ac:dyDescent="0.3">
      <c r="B152" s="76">
        <v>44774</v>
      </c>
      <c r="C152" s="77">
        <v>2358196</v>
      </c>
      <c r="D152" s="77">
        <v>2031758</v>
      </c>
      <c r="E152" s="77">
        <v>737235</v>
      </c>
      <c r="F152" s="77">
        <v>2619406</v>
      </c>
      <c r="G152" s="81">
        <f t="shared" si="13"/>
        <v>0.1606677566914958</v>
      </c>
      <c r="H152" s="81">
        <f t="shared" si="14"/>
        <v>1.7559163631677821</v>
      </c>
      <c r="I152" s="81">
        <f t="shared" si="15"/>
        <v>-0.7185487854880076</v>
      </c>
      <c r="J152" s="81"/>
      <c r="K152" s="81"/>
      <c r="L152" s="81"/>
      <c r="M152" s="81"/>
      <c r="N152" s="81"/>
    </row>
    <row r="153" spans="2:14" ht="15.75" thickBot="1" x14ac:dyDescent="0.3">
      <c r="B153" s="76">
        <v>44773</v>
      </c>
      <c r="C153" s="77">
        <v>2467162</v>
      </c>
      <c r="D153" s="77">
        <v>2238462</v>
      </c>
      <c r="E153" s="77">
        <v>799861</v>
      </c>
      <c r="F153" s="77">
        <v>2688640</v>
      </c>
      <c r="G153" s="81">
        <f t="shared" si="13"/>
        <v>0.10216836381408312</v>
      </c>
      <c r="H153" s="81">
        <f t="shared" si="14"/>
        <v>1.798563750451641</v>
      </c>
      <c r="I153" s="81">
        <f t="shared" si="15"/>
        <v>-0.70250349619138297</v>
      </c>
      <c r="J153" s="81"/>
      <c r="K153" s="81"/>
      <c r="L153" s="81"/>
      <c r="M153" s="81"/>
      <c r="N153" s="81"/>
    </row>
    <row r="154" spans="2:14" ht="15.75" thickBot="1" x14ac:dyDescent="0.3">
      <c r="B154" s="76">
        <v>44772</v>
      </c>
      <c r="C154" s="77">
        <v>2199454</v>
      </c>
      <c r="D154" s="77">
        <v>2007412</v>
      </c>
      <c r="E154" s="77">
        <v>709033</v>
      </c>
      <c r="F154" s="77">
        <v>2367967</v>
      </c>
      <c r="G154" s="81">
        <f t="shared" si="13"/>
        <v>9.5666460098873474E-2</v>
      </c>
      <c r="H154" s="81">
        <f t="shared" si="14"/>
        <v>1.8311968554355018</v>
      </c>
      <c r="I154" s="81">
        <f t="shared" si="15"/>
        <v>-0.70057310764888192</v>
      </c>
      <c r="J154" s="81"/>
      <c r="K154" s="81"/>
      <c r="L154" s="81"/>
      <c r="M154" s="81"/>
      <c r="N154" s="81"/>
    </row>
    <row r="155" spans="2:14" ht="15.75" thickBot="1" x14ac:dyDescent="0.3">
      <c r="B155" s="76">
        <v>44771</v>
      </c>
      <c r="C155" s="77">
        <v>2363800</v>
      </c>
      <c r="D155" s="77">
        <v>2198585</v>
      </c>
      <c r="E155" s="77">
        <v>767320</v>
      </c>
      <c r="F155" s="77">
        <v>2730936</v>
      </c>
      <c r="G155" s="81">
        <f t="shared" si="13"/>
        <v>7.5146059852132074E-2</v>
      </c>
      <c r="H155" s="81">
        <f t="shared" si="14"/>
        <v>1.8652778501798468</v>
      </c>
      <c r="I155" s="81">
        <f t="shared" si="15"/>
        <v>-0.71902673662070438</v>
      </c>
      <c r="J155" s="81"/>
      <c r="K155" s="81"/>
      <c r="L155" s="81"/>
      <c r="M155" s="81"/>
      <c r="N155" s="81"/>
    </row>
    <row r="156" spans="2:14" ht="15.75" thickBot="1" x14ac:dyDescent="0.3">
      <c r="B156" s="76">
        <v>44770</v>
      </c>
      <c r="C156" s="77">
        <v>2392009</v>
      </c>
      <c r="D156" s="77">
        <v>2127634</v>
      </c>
      <c r="E156" s="77">
        <v>718310</v>
      </c>
      <c r="F156" s="77">
        <v>2742882</v>
      </c>
      <c r="G156" s="81">
        <f t="shared" si="13"/>
        <v>0.12425774357807784</v>
      </c>
      <c r="H156" s="81">
        <f t="shared" si="14"/>
        <v>1.9619996937255504</v>
      </c>
      <c r="I156" s="81">
        <f t="shared" si="15"/>
        <v>-0.73811851913425364</v>
      </c>
      <c r="J156" s="81"/>
      <c r="K156" s="81"/>
      <c r="L156" s="81"/>
      <c r="M156" s="81"/>
      <c r="N156" s="81"/>
    </row>
    <row r="157" spans="2:14" ht="15.75" thickBot="1" x14ac:dyDescent="0.3">
      <c r="B157" s="76">
        <v>44769</v>
      </c>
      <c r="C157" s="77">
        <v>2205506</v>
      </c>
      <c r="D157" s="77">
        <v>1923980</v>
      </c>
      <c r="E157" s="77">
        <v>573200</v>
      </c>
      <c r="F157" s="77">
        <v>2542365</v>
      </c>
      <c r="G157" s="81">
        <f t="shared" si="13"/>
        <v>0.14632480587116281</v>
      </c>
      <c r="H157" s="81">
        <f t="shared" si="14"/>
        <v>2.3565596650383811</v>
      </c>
      <c r="I157" s="81">
        <f t="shared" si="15"/>
        <v>-0.77454063440929999</v>
      </c>
      <c r="J157" s="81"/>
      <c r="K157" s="81"/>
      <c r="L157" s="81"/>
      <c r="M157" s="81"/>
      <c r="N157" s="81"/>
    </row>
    <row r="158" spans="2:14" ht="15.75" thickBot="1" x14ac:dyDescent="0.3">
      <c r="B158" s="76">
        <v>44768</v>
      </c>
      <c r="C158" s="77">
        <v>2115890</v>
      </c>
      <c r="D158" s="77">
        <v>1858328</v>
      </c>
      <c r="E158" s="77">
        <v>536756</v>
      </c>
      <c r="F158" s="77">
        <v>2438967</v>
      </c>
      <c r="G158" s="81">
        <f t="shared" si="13"/>
        <v>0.13859878342251752</v>
      </c>
      <c r="H158" s="81">
        <f t="shared" si="14"/>
        <v>2.4621466737213931</v>
      </c>
      <c r="I158" s="81">
        <f t="shared" si="15"/>
        <v>-0.77992486163199426</v>
      </c>
      <c r="J158" s="81"/>
      <c r="K158" s="81"/>
      <c r="L158" s="81"/>
      <c r="M158" s="81"/>
      <c r="N158" s="81"/>
    </row>
    <row r="159" spans="2:14" ht="15.75" thickBot="1" x14ac:dyDescent="0.3">
      <c r="B159" s="76">
        <v>44767</v>
      </c>
      <c r="C159" s="77">
        <v>2360672</v>
      </c>
      <c r="D159" s="77">
        <v>2124474</v>
      </c>
      <c r="E159" s="77">
        <v>700043</v>
      </c>
      <c r="F159" s="77">
        <v>2613346</v>
      </c>
      <c r="G159" s="81">
        <f t="shared" si="13"/>
        <v>0.11117952020123578</v>
      </c>
      <c r="H159" s="81">
        <f t="shared" si="14"/>
        <v>2.0347764351618403</v>
      </c>
      <c r="I159" s="81">
        <f t="shared" si="15"/>
        <v>-0.73212770142185535</v>
      </c>
      <c r="J159" s="81"/>
      <c r="K159" s="81"/>
      <c r="L159" s="81"/>
      <c r="M159" s="81"/>
      <c r="N159" s="81"/>
    </row>
    <row r="160" spans="2:14" ht="15.75" thickBot="1" x14ac:dyDescent="0.3">
      <c r="B160" s="76">
        <v>44766</v>
      </c>
      <c r="C160" s="77">
        <v>2247129</v>
      </c>
      <c r="D160" s="77">
        <v>2177129</v>
      </c>
      <c r="E160" s="77">
        <v>751205</v>
      </c>
      <c r="F160" s="77">
        <v>2700723</v>
      </c>
      <c r="G160" s="81">
        <f t="shared" si="13"/>
        <v>3.215243561589598E-2</v>
      </c>
      <c r="H160" s="81">
        <f t="shared" si="14"/>
        <v>1.8981822538454884</v>
      </c>
      <c r="I160" s="81">
        <f t="shared" si="15"/>
        <v>-0.72185040820550639</v>
      </c>
      <c r="J160" s="81"/>
      <c r="K160" s="81"/>
      <c r="L160" s="81"/>
      <c r="M160" s="81"/>
      <c r="N160" s="81"/>
    </row>
    <row r="161" spans="2:14" ht="15.75" thickBot="1" x14ac:dyDescent="0.3">
      <c r="B161" s="76">
        <v>44765</v>
      </c>
      <c r="C161" s="77">
        <v>2183142</v>
      </c>
      <c r="D161" s="77">
        <v>1942871</v>
      </c>
      <c r="E161" s="77">
        <v>649027</v>
      </c>
      <c r="F161" s="77">
        <v>2364925</v>
      </c>
      <c r="G161" s="81">
        <f t="shared" si="13"/>
        <v>0.123668015014893</v>
      </c>
      <c r="H161" s="81">
        <f t="shared" si="14"/>
        <v>1.9935133669323464</v>
      </c>
      <c r="I161" s="81">
        <f t="shared" si="15"/>
        <v>-0.72556127572756002</v>
      </c>
      <c r="J161" s="81"/>
      <c r="K161" s="81"/>
      <c r="L161" s="81"/>
      <c r="M161" s="81"/>
      <c r="N161" s="81"/>
    </row>
    <row r="162" spans="2:14" ht="15.75" thickBot="1" x14ac:dyDescent="0.3">
      <c r="B162" s="76">
        <v>44764</v>
      </c>
      <c r="C162" s="77">
        <v>2444737</v>
      </c>
      <c r="D162" s="77">
        <v>2159300</v>
      </c>
      <c r="E162" s="77">
        <v>724770</v>
      </c>
      <c r="F162" s="77">
        <v>2732770</v>
      </c>
      <c r="G162" s="81">
        <f t="shared" si="13"/>
        <v>0.1321895984809891</v>
      </c>
      <c r="H162" s="81">
        <f t="shared" si="14"/>
        <v>1.9792899816493508</v>
      </c>
      <c r="I162" s="81">
        <f t="shared" si="15"/>
        <v>-0.73478558385813664</v>
      </c>
      <c r="J162" s="81"/>
      <c r="K162" s="81"/>
      <c r="L162" s="81"/>
      <c r="M162" s="81"/>
      <c r="N162" s="81"/>
    </row>
    <row r="163" spans="2:14" ht="15.75" thickBot="1" x14ac:dyDescent="0.3">
      <c r="B163" s="76">
        <v>44763</v>
      </c>
      <c r="C163" s="77">
        <v>2423437</v>
      </c>
      <c r="D163" s="77">
        <v>2101343</v>
      </c>
      <c r="E163" s="77">
        <v>704815</v>
      </c>
      <c r="F163" s="77">
        <v>2705399</v>
      </c>
      <c r="G163" s="81">
        <f t="shared" si="13"/>
        <v>0.15328006898445423</v>
      </c>
      <c r="H163" s="81">
        <f t="shared" si="14"/>
        <v>1.9814107248001247</v>
      </c>
      <c r="I163" s="81">
        <f t="shared" si="15"/>
        <v>-0.73947835420949004</v>
      </c>
      <c r="J163" s="81"/>
      <c r="K163" s="81"/>
      <c r="L163" s="81"/>
      <c r="M163" s="81"/>
      <c r="N163" s="81"/>
    </row>
    <row r="164" spans="2:14" ht="15.75" thickBot="1" x14ac:dyDescent="0.3">
      <c r="B164" s="76">
        <v>44762</v>
      </c>
      <c r="C164" s="77">
        <v>2219416</v>
      </c>
      <c r="D164" s="77">
        <v>1934918</v>
      </c>
      <c r="E164" s="77">
        <v>570951</v>
      </c>
      <c r="F164" s="77">
        <v>2561911</v>
      </c>
      <c r="G164" s="81">
        <f t="shared" si="13"/>
        <v>0.14703362106301143</v>
      </c>
      <c r="H164" s="81">
        <f t="shared" si="14"/>
        <v>2.3889388056067857</v>
      </c>
      <c r="I164" s="81">
        <f t="shared" si="15"/>
        <v>-0.77713862815687196</v>
      </c>
      <c r="J164" s="81"/>
      <c r="K164" s="81"/>
      <c r="L164" s="81"/>
      <c r="M164" s="81"/>
      <c r="N164" s="81"/>
    </row>
    <row r="165" spans="2:14" ht="15.75" thickBot="1" x14ac:dyDescent="0.3">
      <c r="B165" s="76">
        <v>44761</v>
      </c>
      <c r="C165" s="77">
        <v>2127327</v>
      </c>
      <c r="D165" s="77">
        <v>1871986</v>
      </c>
      <c r="E165" s="77">
        <v>530421</v>
      </c>
      <c r="F165" s="77">
        <v>2499460</v>
      </c>
      <c r="G165" s="81">
        <f t="shared" si="13"/>
        <v>0.13640112693150486</v>
      </c>
      <c r="H165" s="81">
        <f t="shared" si="14"/>
        <v>2.5292456369563046</v>
      </c>
      <c r="I165" s="81">
        <f t="shared" si="15"/>
        <v>-0.78778576172453252</v>
      </c>
      <c r="J165" s="81"/>
      <c r="K165" s="81"/>
      <c r="L165" s="81"/>
      <c r="M165" s="81"/>
      <c r="N165" s="81"/>
    </row>
    <row r="166" spans="2:14" ht="15.75" thickBot="1" x14ac:dyDescent="0.3">
      <c r="B166" s="76">
        <v>44760</v>
      </c>
      <c r="C166" s="77">
        <v>2350360</v>
      </c>
      <c r="D166" s="77">
        <v>2141429</v>
      </c>
      <c r="E166" s="77">
        <v>695330</v>
      </c>
      <c r="F166" s="77">
        <v>2635312</v>
      </c>
      <c r="G166" s="81">
        <f t="shared" si="13"/>
        <v>9.7566157925385255E-2</v>
      </c>
      <c r="H166" s="81">
        <f t="shared" si="14"/>
        <v>2.0797304876821077</v>
      </c>
      <c r="I166" s="81">
        <f t="shared" si="15"/>
        <v>-0.73614888863254135</v>
      </c>
      <c r="J166" s="81"/>
      <c r="K166" s="81"/>
      <c r="L166" s="81"/>
      <c r="M166" s="81"/>
      <c r="N166" s="81"/>
    </row>
    <row r="167" spans="2:14" ht="15.75" thickBot="1" x14ac:dyDescent="0.3">
      <c r="B167" s="76">
        <v>44759</v>
      </c>
      <c r="C167" s="77">
        <v>2445936</v>
      </c>
      <c r="D167" s="77">
        <v>2227704</v>
      </c>
      <c r="E167" s="77">
        <v>747422</v>
      </c>
      <c r="F167" s="77">
        <v>2727355</v>
      </c>
      <c r="G167" s="81">
        <f t="shared" si="13"/>
        <v>9.7962745499402093E-2</v>
      </c>
      <c r="H167" s="81">
        <f t="shared" si="14"/>
        <v>1.9805170305396418</v>
      </c>
      <c r="I167" s="81">
        <f t="shared" si="15"/>
        <v>-0.72595353373506566</v>
      </c>
      <c r="J167" s="81"/>
      <c r="K167" s="81"/>
      <c r="L167" s="81"/>
      <c r="M167" s="81"/>
      <c r="N167" s="81"/>
    </row>
    <row r="168" spans="2:14" ht="15.75" thickBot="1" x14ac:dyDescent="0.3">
      <c r="B168" s="76">
        <v>44758</v>
      </c>
      <c r="C168" s="77">
        <v>2185441</v>
      </c>
      <c r="D168" s="77">
        <v>1979981</v>
      </c>
      <c r="E168" s="77">
        <v>646654</v>
      </c>
      <c r="F168" s="77">
        <v>2396462</v>
      </c>
      <c r="G168" s="81">
        <f t="shared" si="13"/>
        <v>0.10376867252766564</v>
      </c>
      <c r="H168" s="81">
        <f t="shared" si="14"/>
        <v>2.0618862637515578</v>
      </c>
      <c r="I168" s="81">
        <f t="shared" si="15"/>
        <v>-0.7301630486942835</v>
      </c>
      <c r="J168" s="81"/>
      <c r="K168" s="81"/>
      <c r="L168" s="81"/>
      <c r="M168" s="81"/>
      <c r="N168" s="81"/>
    </row>
    <row r="169" spans="2:14" ht="15.75" thickBot="1" x14ac:dyDescent="0.3">
      <c r="B169" s="76">
        <v>44757</v>
      </c>
      <c r="C169" s="77">
        <v>2421430</v>
      </c>
      <c r="D169" s="77">
        <v>2199815</v>
      </c>
      <c r="E169" s="77">
        <v>720378</v>
      </c>
      <c r="F169" s="77">
        <v>2776960</v>
      </c>
      <c r="G169" s="81">
        <f t="shared" si="13"/>
        <v>0.10074256244275093</v>
      </c>
      <c r="H169" s="81">
        <f t="shared" si="14"/>
        <v>2.0536954210150782</v>
      </c>
      <c r="I169" s="81">
        <f t="shared" si="15"/>
        <v>-0.74058754897441803</v>
      </c>
      <c r="J169" s="81"/>
      <c r="K169" s="81"/>
      <c r="L169" s="81"/>
      <c r="M169" s="81"/>
      <c r="N169" s="81"/>
    </row>
    <row r="170" spans="2:14" ht="15.75" thickBot="1" x14ac:dyDescent="0.3">
      <c r="B170" s="76">
        <v>44756</v>
      </c>
      <c r="C170" s="77">
        <v>2387231</v>
      </c>
      <c r="D170" s="77">
        <v>2152053</v>
      </c>
      <c r="E170" s="77">
        <v>706164</v>
      </c>
      <c r="F170" s="77">
        <v>2716828</v>
      </c>
      <c r="G170" s="81">
        <f t="shared" si="13"/>
        <v>0.10928076585474433</v>
      </c>
      <c r="H170" s="81">
        <f t="shared" si="14"/>
        <v>2.0475257872109029</v>
      </c>
      <c r="I170" s="81">
        <f t="shared" si="15"/>
        <v>-0.74007776716082141</v>
      </c>
      <c r="J170" s="81"/>
      <c r="K170" s="81"/>
      <c r="L170" s="81"/>
      <c r="M170" s="81"/>
      <c r="N170" s="81"/>
    </row>
    <row r="171" spans="2:14" ht="15.75" thickBot="1" x14ac:dyDescent="0.3">
      <c r="B171" s="76">
        <v>44755</v>
      </c>
      <c r="C171" s="77">
        <v>2166953</v>
      </c>
      <c r="D171" s="77">
        <v>1900945</v>
      </c>
      <c r="E171" s="77">
        <v>589285</v>
      </c>
      <c r="F171" s="77">
        <v>2522563</v>
      </c>
      <c r="G171" s="81">
        <f t="shared" si="13"/>
        <v>0.13993461146955855</v>
      </c>
      <c r="H171" s="81">
        <f t="shared" si="14"/>
        <v>2.2258499707272374</v>
      </c>
      <c r="I171" s="81">
        <f t="shared" si="15"/>
        <v>-0.76639433782228628</v>
      </c>
      <c r="J171" s="81"/>
      <c r="K171" s="81"/>
      <c r="L171" s="81"/>
      <c r="M171" s="81"/>
      <c r="N171" s="81"/>
    </row>
    <row r="172" spans="2:14" ht="15.75" thickBot="1" x14ac:dyDescent="0.3">
      <c r="B172" s="76">
        <v>44754</v>
      </c>
      <c r="C172" s="77">
        <v>2062952</v>
      </c>
      <c r="D172" s="77">
        <v>1832878</v>
      </c>
      <c r="E172" s="77">
        <v>540268</v>
      </c>
      <c r="F172" s="77">
        <v>2447177</v>
      </c>
      <c r="G172" s="81">
        <f t="shared" si="13"/>
        <v>0.12552608520588926</v>
      </c>
      <c r="H172" s="81">
        <f t="shared" si="14"/>
        <v>2.3925348160542548</v>
      </c>
      <c r="I172" s="81">
        <f t="shared" si="15"/>
        <v>-0.77922806564461822</v>
      </c>
      <c r="J172" s="81"/>
      <c r="K172" s="81"/>
      <c r="L172" s="81"/>
      <c r="M172" s="81"/>
      <c r="N172" s="81"/>
    </row>
    <row r="173" spans="2:14" ht="15.75" thickBot="1" x14ac:dyDescent="0.3">
      <c r="B173" s="76">
        <v>44753</v>
      </c>
      <c r="C173" s="77">
        <v>2292793</v>
      </c>
      <c r="D173" s="77">
        <v>2093066</v>
      </c>
      <c r="E173" s="77">
        <v>697985</v>
      </c>
      <c r="F173" s="77">
        <v>2615115</v>
      </c>
      <c r="G173" s="81">
        <f t="shared" si="13"/>
        <v>9.5423173468968558E-2</v>
      </c>
      <c r="H173" s="81">
        <f t="shared" si="14"/>
        <v>1.9987263336604655</v>
      </c>
      <c r="I173" s="81">
        <f t="shared" si="15"/>
        <v>-0.73309586767694723</v>
      </c>
      <c r="J173" s="81"/>
      <c r="K173" s="81"/>
      <c r="L173" s="81"/>
      <c r="M173" s="81"/>
      <c r="N173" s="81"/>
    </row>
    <row r="174" spans="2:14" ht="15.75" thickBot="1" x14ac:dyDescent="0.3">
      <c r="B174" s="76">
        <v>44752</v>
      </c>
      <c r="C174" s="77">
        <v>2438070</v>
      </c>
      <c r="D174" s="77">
        <v>2198635</v>
      </c>
      <c r="E174" s="77">
        <v>754545</v>
      </c>
      <c r="F174" s="77">
        <v>2669717</v>
      </c>
      <c r="G174" s="81">
        <f t="shared" si="13"/>
        <v>0.10890165943869712</v>
      </c>
      <c r="H174" s="81">
        <f t="shared" si="14"/>
        <v>1.9138553697923912</v>
      </c>
      <c r="I174" s="81">
        <f t="shared" si="15"/>
        <v>-0.71736891962706162</v>
      </c>
      <c r="J174" s="81"/>
      <c r="K174" s="81"/>
      <c r="L174" s="81"/>
      <c r="M174" s="81"/>
      <c r="N174" s="81"/>
    </row>
    <row r="175" spans="2:14" ht="15.75" thickBot="1" x14ac:dyDescent="0.3">
      <c r="B175" s="76">
        <v>44751</v>
      </c>
      <c r="C175" s="77">
        <v>2132467</v>
      </c>
      <c r="D175" s="77">
        <v>1987652</v>
      </c>
      <c r="E175" s="77">
        <v>656284</v>
      </c>
      <c r="F175" s="77">
        <v>2312178</v>
      </c>
      <c r="G175" s="81">
        <f t="shared" si="13"/>
        <v>7.2857321100474381E-2</v>
      </c>
      <c r="H175" s="81">
        <f t="shared" si="14"/>
        <v>2.0286461349050104</v>
      </c>
      <c r="I175" s="81">
        <f t="shared" si="15"/>
        <v>-0.71616199098858302</v>
      </c>
      <c r="J175" s="81"/>
      <c r="K175" s="81"/>
      <c r="L175" s="81"/>
      <c r="M175" s="81"/>
      <c r="N175" s="81"/>
    </row>
    <row r="176" spans="2:14" ht="15.75" thickBot="1" x14ac:dyDescent="0.3">
      <c r="B176" s="76">
        <v>44750</v>
      </c>
      <c r="C176" s="77">
        <v>2273221</v>
      </c>
      <c r="D176" s="77">
        <v>2147903</v>
      </c>
      <c r="E176" s="77">
        <v>711124</v>
      </c>
      <c r="F176" s="77">
        <v>2716812</v>
      </c>
      <c r="G176" s="81">
        <f t="shared" si="13"/>
        <v>5.8344347952398179E-2</v>
      </c>
      <c r="H176" s="81">
        <f t="shared" si="14"/>
        <v>2.0204338483864981</v>
      </c>
      <c r="I176" s="81">
        <f t="shared" si="15"/>
        <v>-0.73825056720891991</v>
      </c>
      <c r="J176" s="81"/>
      <c r="K176" s="81"/>
      <c r="L176" s="81"/>
      <c r="M176" s="81"/>
      <c r="N176" s="81"/>
    </row>
    <row r="177" spans="2:14" ht="15.75" thickBot="1" x14ac:dyDescent="0.3">
      <c r="B177" s="76">
        <v>44749</v>
      </c>
      <c r="C177" s="77">
        <v>2238917</v>
      </c>
      <c r="D177" s="77">
        <v>2027364</v>
      </c>
      <c r="E177" s="77">
        <v>709653</v>
      </c>
      <c r="F177" s="77">
        <v>2608209</v>
      </c>
      <c r="G177" s="81">
        <f t="shared" si="13"/>
        <v>0.10434879972220079</v>
      </c>
      <c r="H177" s="81">
        <f t="shared" si="14"/>
        <v>1.8568384830332572</v>
      </c>
      <c r="I177" s="81">
        <f t="shared" si="15"/>
        <v>-0.72791559265380956</v>
      </c>
      <c r="J177" s="81"/>
      <c r="K177" s="81"/>
      <c r="L177" s="81"/>
      <c r="M177" s="81"/>
      <c r="N177" s="81"/>
    </row>
    <row r="178" spans="2:14" ht="15.75" thickBot="1" x14ac:dyDescent="0.3">
      <c r="B178" s="76">
        <v>44748</v>
      </c>
      <c r="C178" s="77">
        <v>2124230</v>
      </c>
      <c r="D178" s="77">
        <v>1880160</v>
      </c>
      <c r="E178" s="77">
        <v>632498</v>
      </c>
      <c r="F178" s="77">
        <v>2515902</v>
      </c>
      <c r="G178" s="81">
        <f t="shared" si="13"/>
        <v>0.12981342013445674</v>
      </c>
      <c r="H178" s="81">
        <f t="shared" si="14"/>
        <v>1.9725943797450745</v>
      </c>
      <c r="I178" s="81">
        <f t="shared" si="15"/>
        <v>-0.74859990571969814</v>
      </c>
      <c r="J178" s="81"/>
      <c r="K178" s="81"/>
      <c r="L178" s="81"/>
      <c r="M178" s="81"/>
      <c r="N178" s="81"/>
    </row>
    <row r="179" spans="2:14" ht="15.75" thickBot="1" x14ac:dyDescent="0.3">
      <c r="B179" s="76">
        <v>44747</v>
      </c>
      <c r="C179" s="77">
        <v>2194459</v>
      </c>
      <c r="D179" s="77">
        <v>1889911</v>
      </c>
      <c r="E179" s="77">
        <v>641761</v>
      </c>
      <c r="F179" s="77">
        <v>2506859</v>
      </c>
      <c r="G179" s="81">
        <f t="shared" si="13"/>
        <v>0.16114409620347203</v>
      </c>
      <c r="H179" s="81">
        <f t="shared" si="14"/>
        <v>1.9448829081231174</v>
      </c>
      <c r="I179" s="81">
        <f t="shared" si="15"/>
        <v>-0.74399796717725253</v>
      </c>
      <c r="J179" s="81"/>
      <c r="K179" s="81"/>
      <c r="L179" s="81"/>
      <c r="M179" s="81"/>
      <c r="N179" s="81"/>
    </row>
    <row r="180" spans="2:14" ht="15.75" thickBot="1" x14ac:dyDescent="0.3">
      <c r="B180" s="76">
        <v>44746</v>
      </c>
      <c r="C180" s="77">
        <v>2081119</v>
      </c>
      <c r="D180" s="77">
        <v>2160147</v>
      </c>
      <c r="E180" s="77">
        <v>755555</v>
      </c>
      <c r="F180" s="77">
        <v>2748718</v>
      </c>
      <c r="G180" s="81">
        <f t="shared" si="13"/>
        <v>-3.6584547255348876E-2</v>
      </c>
      <c r="H180" s="81">
        <f t="shared" si="14"/>
        <v>1.8590201904560222</v>
      </c>
      <c r="I180" s="81">
        <f t="shared" si="15"/>
        <v>-0.72512458535215329</v>
      </c>
      <c r="J180" s="81"/>
      <c r="K180" s="81"/>
      <c r="L180" s="81"/>
      <c r="M180" s="81"/>
      <c r="N180" s="81"/>
    </row>
    <row r="181" spans="2:14" ht="15.75" thickBot="1" x14ac:dyDescent="0.3">
      <c r="B181" s="76">
        <v>44745</v>
      </c>
      <c r="C181" s="77">
        <v>2094381</v>
      </c>
      <c r="D181" s="77">
        <v>1681896</v>
      </c>
      <c r="E181" s="77">
        <v>732123</v>
      </c>
      <c r="F181" s="77">
        <v>2795369</v>
      </c>
      <c r="G181" s="81">
        <f t="shared" si="13"/>
        <v>0.24525000356740256</v>
      </c>
      <c r="H181" s="81">
        <f t="shared" si="14"/>
        <v>1.297286111759909</v>
      </c>
      <c r="I181" s="81">
        <f t="shared" si="15"/>
        <v>-0.73809432672394948</v>
      </c>
      <c r="J181" s="81"/>
      <c r="K181" s="81"/>
      <c r="L181" s="81"/>
      <c r="M181" s="81"/>
      <c r="N181" s="81"/>
    </row>
    <row r="182" spans="2:14" ht="15.75" thickBot="1" x14ac:dyDescent="0.3">
      <c r="B182" s="76">
        <v>44744</v>
      </c>
      <c r="C182" s="77">
        <v>2160542</v>
      </c>
      <c r="D182" s="77">
        <v>1915017</v>
      </c>
      <c r="E182" s="77">
        <v>466669</v>
      </c>
      <c r="F182" s="77">
        <v>2345846</v>
      </c>
      <c r="G182" s="81">
        <f t="shared" si="13"/>
        <v>0.12821035009088688</v>
      </c>
      <c r="H182" s="81">
        <f t="shared" si="14"/>
        <v>3.103587339206161</v>
      </c>
      <c r="I182" s="81">
        <f t="shared" si="15"/>
        <v>-0.80106579886318197</v>
      </c>
      <c r="J182" s="81"/>
      <c r="K182" s="81"/>
      <c r="L182" s="81"/>
      <c r="M182" s="81"/>
      <c r="N182" s="81"/>
    </row>
    <row r="183" spans="2:14" ht="15.75" thickBot="1" x14ac:dyDescent="0.3">
      <c r="B183" s="76">
        <v>44743</v>
      </c>
      <c r="C183" s="77">
        <v>2490490</v>
      </c>
      <c r="D183" s="77">
        <v>2196411</v>
      </c>
      <c r="E183" s="77">
        <v>718988</v>
      </c>
      <c r="F183" s="77">
        <v>2184253</v>
      </c>
      <c r="G183" s="81">
        <f t="shared" si="13"/>
        <v>0.13389069714183721</v>
      </c>
      <c r="H183" s="81">
        <f t="shared" si="14"/>
        <v>2.0548646152647887</v>
      </c>
      <c r="I183" s="81">
        <f t="shared" si="15"/>
        <v>-0.67083117202997999</v>
      </c>
      <c r="J183" s="81"/>
      <c r="K183" s="81"/>
      <c r="L183" s="81"/>
      <c r="M183" s="81"/>
      <c r="N183" s="81"/>
    </row>
    <row r="184" spans="2:14" ht="15.75" thickBot="1" x14ac:dyDescent="0.3">
      <c r="B184" s="76">
        <v>44742</v>
      </c>
      <c r="C184" s="77">
        <v>2444471</v>
      </c>
      <c r="D184" s="77">
        <v>2147090</v>
      </c>
      <c r="E184" s="77">
        <v>764761</v>
      </c>
      <c r="F184" s="77">
        <v>2088760</v>
      </c>
      <c r="G184" s="81">
        <f t="shared" si="13"/>
        <v>0.13850420802108898</v>
      </c>
      <c r="H184" s="81">
        <f t="shared" si="14"/>
        <v>1.8075307187474259</v>
      </c>
      <c r="I184" s="81">
        <f t="shared" si="15"/>
        <v>-0.63386841954078021</v>
      </c>
      <c r="J184" s="81"/>
      <c r="K184" s="81"/>
      <c r="L184" s="81"/>
      <c r="M184" s="81"/>
      <c r="N184" s="81"/>
    </row>
    <row r="185" spans="2:14" ht="15.75" thickBot="1" x14ac:dyDescent="0.3">
      <c r="B185" s="76">
        <v>44741</v>
      </c>
      <c r="C185" s="77">
        <v>2227863</v>
      </c>
      <c r="D185" s="77">
        <v>1920663</v>
      </c>
      <c r="E185" s="77">
        <v>626516</v>
      </c>
      <c r="F185" s="77">
        <v>2547889</v>
      </c>
      <c r="G185" s="81">
        <f t="shared" si="13"/>
        <v>0.15994476907192978</v>
      </c>
      <c r="H185" s="81">
        <f t="shared" si="14"/>
        <v>2.0656248204355516</v>
      </c>
      <c r="I185" s="81">
        <f t="shared" si="15"/>
        <v>-0.75410388757124036</v>
      </c>
      <c r="J185" s="81"/>
      <c r="K185" s="81"/>
      <c r="L185" s="81"/>
      <c r="M185" s="81"/>
      <c r="N185" s="81"/>
    </row>
    <row r="186" spans="2:14" ht="15.75" thickBot="1" x14ac:dyDescent="0.3">
      <c r="B186" s="76">
        <v>44740</v>
      </c>
      <c r="C186" s="77">
        <v>2129423</v>
      </c>
      <c r="D186" s="77">
        <v>1808306</v>
      </c>
      <c r="E186" s="77">
        <v>500054</v>
      </c>
      <c r="F186" s="77">
        <v>2347767</v>
      </c>
      <c r="G186" s="81">
        <f t="shared" si="13"/>
        <v>0.17757890534013598</v>
      </c>
      <c r="H186" s="81">
        <f t="shared" si="14"/>
        <v>2.616221448083607</v>
      </c>
      <c r="I186" s="81">
        <f t="shared" si="15"/>
        <v>-0.78700867675540209</v>
      </c>
      <c r="J186" s="81"/>
      <c r="K186" s="81"/>
      <c r="L186" s="81"/>
      <c r="M186" s="81"/>
      <c r="N186" s="81"/>
    </row>
    <row r="187" spans="2:14" ht="15.75" thickBot="1" x14ac:dyDescent="0.3">
      <c r="B187" s="76">
        <v>44739</v>
      </c>
      <c r="C187" s="77">
        <v>2367232</v>
      </c>
      <c r="D187" s="77">
        <v>2066964</v>
      </c>
      <c r="E187" s="77">
        <v>625235</v>
      </c>
      <c r="F187" s="77">
        <v>2455536</v>
      </c>
      <c r="G187" s="81">
        <f t="shared" si="13"/>
        <v>0.14527006759672645</v>
      </c>
      <c r="H187" s="81">
        <f t="shared" si="14"/>
        <v>2.3058993818324311</v>
      </c>
      <c r="I187" s="81">
        <f t="shared" si="15"/>
        <v>-0.74537738400088616</v>
      </c>
      <c r="J187" s="81"/>
      <c r="K187" s="81"/>
      <c r="L187" s="81"/>
      <c r="M187" s="81"/>
      <c r="N187" s="81"/>
    </row>
    <row r="188" spans="2:14" ht="15.75" thickBot="1" x14ac:dyDescent="0.3">
      <c r="B188" s="76">
        <v>44738</v>
      </c>
      <c r="C188" s="77">
        <v>2462097</v>
      </c>
      <c r="D188" s="77">
        <v>2167380</v>
      </c>
      <c r="E188" s="77">
        <v>633810</v>
      </c>
      <c r="F188" s="77">
        <v>2632030</v>
      </c>
      <c r="G188" s="81">
        <f t="shared" si="13"/>
        <v>0.13597846247543122</v>
      </c>
      <c r="H188" s="81">
        <f t="shared" si="14"/>
        <v>2.419605244473896</v>
      </c>
      <c r="I188" s="81">
        <f t="shared" si="15"/>
        <v>-0.75919347423851558</v>
      </c>
      <c r="J188" s="81"/>
      <c r="K188" s="81"/>
      <c r="L188" s="81"/>
      <c r="M188" s="81"/>
      <c r="N188" s="81"/>
    </row>
    <row r="189" spans="2:14" ht="15.75" thickBot="1" x14ac:dyDescent="0.3">
      <c r="B189" s="76">
        <v>44737</v>
      </c>
      <c r="C189" s="77">
        <v>2190008</v>
      </c>
      <c r="D189" s="77">
        <v>1918705</v>
      </c>
      <c r="E189" s="77">
        <v>546310</v>
      </c>
      <c r="F189" s="77">
        <v>2368846</v>
      </c>
      <c r="G189" s="81">
        <f t="shared" si="13"/>
        <v>0.14139901652416609</v>
      </c>
      <c r="H189" s="81">
        <f t="shared" si="14"/>
        <v>2.5121176621332211</v>
      </c>
      <c r="I189" s="81">
        <f t="shared" si="15"/>
        <v>-0.76937715664082851</v>
      </c>
      <c r="J189" s="81"/>
      <c r="K189" s="81"/>
      <c r="L189" s="81"/>
      <c r="M189" s="81"/>
      <c r="N189" s="81"/>
    </row>
    <row r="190" spans="2:14" ht="15.75" thickBot="1" x14ac:dyDescent="0.3">
      <c r="B190" s="76">
        <v>44736</v>
      </c>
      <c r="C190" s="77">
        <v>2454781</v>
      </c>
      <c r="D190" s="77">
        <v>2137584</v>
      </c>
      <c r="E190" s="77">
        <v>632984</v>
      </c>
      <c r="F190" s="77">
        <v>2730515</v>
      </c>
      <c r="G190" s="81">
        <f t="shared" si="13"/>
        <v>0.14839042582654072</v>
      </c>
      <c r="H190" s="81">
        <f t="shared" si="14"/>
        <v>2.376995311097911</v>
      </c>
      <c r="I190" s="81">
        <f t="shared" si="15"/>
        <v>-0.7681814602739776</v>
      </c>
      <c r="J190" s="81"/>
      <c r="K190" s="81"/>
      <c r="L190" s="81"/>
      <c r="M190" s="81"/>
      <c r="N190" s="81"/>
    </row>
    <row r="191" spans="2:14" ht="15.75" thickBot="1" x14ac:dyDescent="0.3">
      <c r="B191" s="76">
        <v>44735</v>
      </c>
      <c r="C191" s="77">
        <v>2432124</v>
      </c>
      <c r="D191" s="77">
        <v>2085327</v>
      </c>
      <c r="E191" s="77">
        <v>623624</v>
      </c>
      <c r="F191" s="77">
        <v>2711222</v>
      </c>
      <c r="G191" s="81">
        <f t="shared" si="13"/>
        <v>0.16630341428466622</v>
      </c>
      <c r="H191" s="81">
        <f t="shared" si="14"/>
        <v>2.343885097430503</v>
      </c>
      <c r="I191" s="81">
        <f t="shared" si="15"/>
        <v>-0.76998416212320497</v>
      </c>
      <c r="J191" s="81"/>
      <c r="K191" s="81"/>
      <c r="L191" s="81"/>
      <c r="M191" s="81"/>
      <c r="N191" s="81"/>
    </row>
    <row r="192" spans="2:14" ht="15.75" thickBot="1" x14ac:dyDescent="0.3">
      <c r="B192" s="76">
        <v>44734</v>
      </c>
      <c r="C192" s="77">
        <v>2186631</v>
      </c>
      <c r="D192" s="77">
        <v>1801329</v>
      </c>
      <c r="E192" s="77">
        <v>494826</v>
      </c>
      <c r="F192" s="77">
        <v>2594661</v>
      </c>
      <c r="G192" s="81">
        <f t="shared" si="13"/>
        <v>0.21389873809837079</v>
      </c>
      <c r="H192" s="81">
        <f t="shared" si="14"/>
        <v>2.6403281153375127</v>
      </c>
      <c r="I192" s="81">
        <f t="shared" si="15"/>
        <v>-0.8092906934663141</v>
      </c>
      <c r="J192" s="81"/>
      <c r="K192" s="81"/>
      <c r="L192" s="81"/>
      <c r="M192" s="81"/>
      <c r="N192" s="81"/>
    </row>
    <row r="193" spans="2:14" ht="15.75" thickBot="1" x14ac:dyDescent="0.3">
      <c r="B193" s="76">
        <v>44733</v>
      </c>
      <c r="C193" s="77">
        <v>2144185</v>
      </c>
      <c r="D193" s="77">
        <v>1795141</v>
      </c>
      <c r="E193" s="77">
        <v>471421</v>
      </c>
      <c r="F193" s="77">
        <v>2506510</v>
      </c>
      <c r="G193" s="81">
        <f t="shared" si="13"/>
        <v>0.19443820847498894</v>
      </c>
      <c r="H193" s="81">
        <f t="shared" si="14"/>
        <v>2.8079360062449488</v>
      </c>
      <c r="I193" s="81">
        <f t="shared" si="15"/>
        <v>-0.81192135678692678</v>
      </c>
      <c r="J193" s="81"/>
      <c r="K193" s="81"/>
      <c r="L193" s="81"/>
      <c r="M193" s="81"/>
      <c r="N193" s="81"/>
    </row>
    <row r="194" spans="2:14" ht="15.75" thickBot="1" x14ac:dyDescent="0.3">
      <c r="B194" s="76">
        <v>44732</v>
      </c>
      <c r="C194" s="77">
        <v>2426408</v>
      </c>
      <c r="D194" s="77">
        <v>2030577</v>
      </c>
      <c r="E194" s="77">
        <v>607540</v>
      </c>
      <c r="F194" s="77">
        <v>2716428</v>
      </c>
      <c r="G194" s="81">
        <f t="shared" si="13"/>
        <v>0.19493523269494339</v>
      </c>
      <c r="H194" s="81">
        <f t="shared" si="14"/>
        <v>2.342293511538335</v>
      </c>
      <c r="I194" s="81">
        <f t="shared" si="15"/>
        <v>-0.77634599555003847</v>
      </c>
      <c r="J194" s="81"/>
      <c r="K194" s="81"/>
      <c r="L194" s="81"/>
      <c r="M194" s="81"/>
      <c r="N194" s="81"/>
    </row>
    <row r="195" spans="2:14" ht="15.75" thickBot="1" x14ac:dyDescent="0.3">
      <c r="B195" s="76">
        <v>44731</v>
      </c>
      <c r="C195" s="77">
        <v>2384449</v>
      </c>
      <c r="D195" s="77">
        <v>2100761</v>
      </c>
      <c r="E195" s="77">
        <v>590456</v>
      </c>
      <c r="F195" s="77">
        <v>2719643</v>
      </c>
      <c r="G195" s="81">
        <f t="shared" si="13"/>
        <v>0.13504058767275295</v>
      </c>
      <c r="H195" s="81">
        <f t="shared" si="14"/>
        <v>2.5578620591542807</v>
      </c>
      <c r="I195" s="81">
        <f t="shared" si="15"/>
        <v>-0.78289209282247707</v>
      </c>
      <c r="J195" s="81"/>
      <c r="K195" s="81"/>
      <c r="L195" s="81"/>
      <c r="M195" s="81"/>
      <c r="N195" s="81"/>
    </row>
    <row r="196" spans="2:14" ht="15.75" thickBot="1" x14ac:dyDescent="0.3">
      <c r="B196" s="76">
        <v>44730</v>
      </c>
      <c r="C196" s="77">
        <v>2173292</v>
      </c>
      <c r="D196" s="77">
        <v>1882381</v>
      </c>
      <c r="E196" s="77">
        <v>507129</v>
      </c>
      <c r="F196" s="77">
        <v>2378559</v>
      </c>
      <c r="G196" s="81">
        <f t="shared" ref="G196:G259" si="16">C196/D196-1</f>
        <v>0.1545441650760393</v>
      </c>
      <c r="H196" s="81">
        <f t="shared" ref="H196:H259" si="17">D196/E196-1</f>
        <v>2.7118386051675216</v>
      </c>
      <c r="I196" s="81">
        <f t="shared" ref="I196:I259" si="18">E196/F196-1</f>
        <v>-0.78679149855017261</v>
      </c>
      <c r="J196" s="81"/>
      <c r="K196" s="81"/>
      <c r="L196" s="81"/>
      <c r="M196" s="81"/>
      <c r="N196" s="81"/>
    </row>
    <row r="197" spans="2:14" ht="15.75" thickBot="1" x14ac:dyDescent="0.3">
      <c r="B197" s="76">
        <v>44729</v>
      </c>
      <c r="C197" s="77">
        <v>2438784</v>
      </c>
      <c r="D197" s="77">
        <v>2081115</v>
      </c>
      <c r="E197" s="77">
        <v>587908</v>
      </c>
      <c r="F197" s="77">
        <v>2772903</v>
      </c>
      <c r="G197" s="81">
        <f t="shared" si="16"/>
        <v>0.17186412091595127</v>
      </c>
      <c r="H197" s="81">
        <f t="shared" si="17"/>
        <v>2.5398650809310301</v>
      </c>
      <c r="I197" s="81">
        <f t="shared" si="18"/>
        <v>-0.7879810436931981</v>
      </c>
      <c r="J197" s="81"/>
      <c r="K197" s="81"/>
      <c r="L197" s="81"/>
      <c r="M197" s="81"/>
      <c r="N197" s="81"/>
    </row>
    <row r="198" spans="2:14" ht="15.75" thickBot="1" x14ac:dyDescent="0.3">
      <c r="B198" s="76">
        <v>44728</v>
      </c>
      <c r="C198" s="77">
        <v>2371860</v>
      </c>
      <c r="D198" s="77">
        <v>2039425</v>
      </c>
      <c r="E198" s="77">
        <v>576514</v>
      </c>
      <c r="F198" s="77">
        <v>2728786</v>
      </c>
      <c r="G198" s="81">
        <f t="shared" si="16"/>
        <v>0.16300427816664009</v>
      </c>
      <c r="H198" s="81">
        <f t="shared" si="17"/>
        <v>2.5375116649378855</v>
      </c>
      <c r="I198" s="81">
        <f t="shared" si="18"/>
        <v>-0.78872876070164533</v>
      </c>
      <c r="J198" s="81"/>
      <c r="K198" s="81"/>
      <c r="L198" s="81"/>
      <c r="M198" s="81"/>
      <c r="N198" s="81"/>
    </row>
    <row r="199" spans="2:14" ht="15.75" thickBot="1" x14ac:dyDescent="0.3">
      <c r="B199" s="76">
        <v>44727</v>
      </c>
      <c r="C199" s="77">
        <v>2229941</v>
      </c>
      <c r="D199" s="77">
        <v>1792370</v>
      </c>
      <c r="E199" s="77">
        <v>441829</v>
      </c>
      <c r="F199" s="77">
        <v>2552395</v>
      </c>
      <c r="G199" s="81">
        <f t="shared" si="16"/>
        <v>0.24412983926309861</v>
      </c>
      <c r="H199" s="81">
        <f t="shared" si="17"/>
        <v>3.0567051959015821</v>
      </c>
      <c r="I199" s="81">
        <f t="shared" si="18"/>
        <v>-0.82689630719383167</v>
      </c>
      <c r="J199" s="81"/>
      <c r="K199" s="81"/>
      <c r="L199" s="81"/>
      <c r="M199" s="81"/>
      <c r="N199" s="81"/>
    </row>
    <row r="200" spans="2:14" ht="15.75" thickBot="1" x14ac:dyDescent="0.3">
      <c r="B200" s="76">
        <v>44726</v>
      </c>
      <c r="C200" s="77">
        <v>2117726</v>
      </c>
      <c r="D200" s="77">
        <v>1678688</v>
      </c>
      <c r="E200" s="77">
        <v>417924</v>
      </c>
      <c r="F200" s="77">
        <v>2466574</v>
      </c>
      <c r="G200" s="81">
        <f t="shared" si="16"/>
        <v>0.26153639032387188</v>
      </c>
      <c r="H200" s="81">
        <f t="shared" si="17"/>
        <v>3.0167303146026549</v>
      </c>
      <c r="I200" s="81">
        <f t="shared" si="18"/>
        <v>-0.83056498609001794</v>
      </c>
      <c r="J200" s="81"/>
      <c r="K200" s="81"/>
      <c r="L200" s="81"/>
      <c r="M200" s="81"/>
      <c r="N200" s="81"/>
    </row>
    <row r="201" spans="2:14" ht="15.75" thickBot="1" x14ac:dyDescent="0.3">
      <c r="B201" s="76">
        <v>44725</v>
      </c>
      <c r="C201" s="77">
        <v>2378868</v>
      </c>
      <c r="D201" s="77">
        <v>1800954</v>
      </c>
      <c r="E201" s="77">
        <v>534528</v>
      </c>
      <c r="F201" s="77">
        <v>2699580</v>
      </c>
      <c r="G201" s="81">
        <f t="shared" si="16"/>
        <v>0.32089325990558337</v>
      </c>
      <c r="H201" s="81">
        <f t="shared" si="17"/>
        <v>2.3692416487068964</v>
      </c>
      <c r="I201" s="81">
        <f t="shared" si="18"/>
        <v>-0.80199586602360373</v>
      </c>
      <c r="J201" s="81"/>
      <c r="K201" s="81"/>
      <c r="L201" s="81"/>
      <c r="M201" s="81"/>
      <c r="N201" s="81"/>
    </row>
    <row r="202" spans="2:14" ht="15.75" thickBot="1" x14ac:dyDescent="0.3">
      <c r="B202" s="76">
        <v>44724</v>
      </c>
      <c r="C202" s="77">
        <v>2380725</v>
      </c>
      <c r="D202" s="77">
        <v>2097433</v>
      </c>
      <c r="E202" s="77">
        <v>544046</v>
      </c>
      <c r="F202" s="77">
        <v>2642083</v>
      </c>
      <c r="G202" s="81">
        <f t="shared" si="16"/>
        <v>0.13506605455335174</v>
      </c>
      <c r="H202" s="81">
        <f t="shared" si="17"/>
        <v>2.8552493722957251</v>
      </c>
      <c r="I202" s="81">
        <f t="shared" si="18"/>
        <v>-0.7940844401935897</v>
      </c>
      <c r="J202" s="81"/>
      <c r="K202" s="81"/>
      <c r="L202" s="81"/>
      <c r="M202" s="81"/>
      <c r="N202" s="81"/>
    </row>
    <row r="203" spans="2:14" ht="15.75" thickBot="1" x14ac:dyDescent="0.3">
      <c r="B203" s="76">
        <v>44723</v>
      </c>
      <c r="C203" s="77">
        <v>2085927</v>
      </c>
      <c r="D203" s="77">
        <v>1812797</v>
      </c>
      <c r="E203" s="77">
        <v>437119</v>
      </c>
      <c r="F203" s="77">
        <v>2318946</v>
      </c>
      <c r="G203" s="81">
        <f t="shared" si="16"/>
        <v>0.15066772506794757</v>
      </c>
      <c r="H203" s="81">
        <f t="shared" si="17"/>
        <v>3.1471475730865048</v>
      </c>
      <c r="I203" s="81">
        <f t="shared" si="18"/>
        <v>-0.81150100088574728</v>
      </c>
      <c r="J203" s="81"/>
      <c r="K203" s="81"/>
      <c r="L203" s="81"/>
      <c r="M203" s="81"/>
      <c r="N203" s="81"/>
    </row>
    <row r="204" spans="2:14" ht="15.75" thickBot="1" x14ac:dyDescent="0.3">
      <c r="B204" s="76">
        <v>44722</v>
      </c>
      <c r="C204" s="77">
        <v>2364754</v>
      </c>
      <c r="D204" s="77">
        <v>2028961</v>
      </c>
      <c r="E204" s="77">
        <v>519304</v>
      </c>
      <c r="F204" s="77">
        <v>2727860</v>
      </c>
      <c r="G204" s="81">
        <f t="shared" si="16"/>
        <v>0.16549997757472923</v>
      </c>
      <c r="H204" s="81">
        <f t="shared" si="17"/>
        <v>2.9070775499514734</v>
      </c>
      <c r="I204" s="81">
        <f t="shared" si="18"/>
        <v>-0.80962952644197284</v>
      </c>
      <c r="J204" s="81"/>
      <c r="K204" s="81"/>
      <c r="L204" s="81"/>
      <c r="M204" s="81"/>
      <c r="N204" s="81"/>
    </row>
    <row r="205" spans="2:14" ht="15.75" thickBot="1" x14ac:dyDescent="0.3">
      <c r="B205" s="76">
        <v>44721</v>
      </c>
      <c r="C205" s="77">
        <v>2371014</v>
      </c>
      <c r="D205" s="77">
        <v>1975189</v>
      </c>
      <c r="E205" s="77">
        <v>502209</v>
      </c>
      <c r="F205" s="77">
        <v>2675686</v>
      </c>
      <c r="G205" s="81">
        <f t="shared" si="16"/>
        <v>0.20039854413932034</v>
      </c>
      <c r="H205" s="81">
        <f t="shared" si="17"/>
        <v>2.9330019971764743</v>
      </c>
      <c r="I205" s="81">
        <f t="shared" si="18"/>
        <v>-0.81230645150439929</v>
      </c>
      <c r="J205" s="81"/>
      <c r="K205" s="81"/>
      <c r="L205" s="81"/>
      <c r="M205" s="81"/>
      <c r="N205" s="81"/>
    </row>
    <row r="206" spans="2:14" ht="15.75" thickBot="1" x14ac:dyDescent="0.3">
      <c r="B206" s="76">
        <v>44720</v>
      </c>
      <c r="C206" s="77">
        <v>2155747</v>
      </c>
      <c r="D206" s="77">
        <v>1669537</v>
      </c>
      <c r="E206" s="77">
        <v>386969</v>
      </c>
      <c r="F206" s="77">
        <v>2509058</v>
      </c>
      <c r="G206" s="81">
        <f t="shared" si="16"/>
        <v>0.29122445324661861</v>
      </c>
      <c r="H206" s="81">
        <f t="shared" si="17"/>
        <v>3.3143946931149522</v>
      </c>
      <c r="I206" s="81">
        <f t="shared" si="18"/>
        <v>-0.84577120178170451</v>
      </c>
      <c r="J206" s="81"/>
      <c r="K206" s="81"/>
      <c r="L206" s="81"/>
      <c r="M206" s="81"/>
      <c r="N206" s="81"/>
    </row>
    <row r="207" spans="2:14" ht="15.75" thickBot="1" x14ac:dyDescent="0.3">
      <c r="B207" s="76">
        <v>44719</v>
      </c>
      <c r="C207" s="77">
        <v>2052377</v>
      </c>
      <c r="D207" s="77">
        <v>1560561</v>
      </c>
      <c r="E207" s="77">
        <v>338382</v>
      </c>
      <c r="F207" s="77">
        <v>2433189</v>
      </c>
      <c r="G207" s="81">
        <f t="shared" si="16"/>
        <v>0.31515333267972223</v>
      </c>
      <c r="H207" s="81">
        <f t="shared" si="17"/>
        <v>3.6118321896554777</v>
      </c>
      <c r="I207" s="81">
        <f t="shared" si="18"/>
        <v>-0.86093065520187706</v>
      </c>
      <c r="J207" s="81"/>
      <c r="K207" s="81"/>
      <c r="L207" s="81"/>
      <c r="M207" s="81"/>
      <c r="N207" s="81"/>
    </row>
    <row r="208" spans="2:14" ht="15.75" thickBot="1" x14ac:dyDescent="0.3">
      <c r="B208" s="76">
        <v>44718</v>
      </c>
      <c r="C208" s="77">
        <v>2279743</v>
      </c>
      <c r="D208" s="77">
        <v>1828396</v>
      </c>
      <c r="E208" s="77">
        <v>430414</v>
      </c>
      <c r="F208" s="77">
        <v>2644981</v>
      </c>
      <c r="G208" s="81">
        <f t="shared" si="16"/>
        <v>0.24685407318764652</v>
      </c>
      <c r="H208" s="81">
        <f t="shared" si="17"/>
        <v>3.247993792023494</v>
      </c>
      <c r="I208" s="81">
        <f t="shared" si="18"/>
        <v>-0.83727142085330675</v>
      </c>
      <c r="J208" s="81"/>
      <c r="K208" s="81"/>
      <c r="L208" s="81"/>
      <c r="M208" s="81"/>
      <c r="N208" s="81"/>
    </row>
    <row r="209" spans="2:14" ht="15.75" thickBot="1" x14ac:dyDescent="0.3">
      <c r="B209" s="76">
        <v>44717</v>
      </c>
      <c r="C209" s="77">
        <v>2387196</v>
      </c>
      <c r="D209" s="77">
        <v>1984658</v>
      </c>
      <c r="E209" s="77">
        <v>441255</v>
      </c>
      <c r="F209" s="77">
        <v>2669860</v>
      </c>
      <c r="G209" s="81">
        <f t="shared" si="16"/>
        <v>0.20282486957450607</v>
      </c>
      <c r="H209" s="81">
        <f t="shared" si="17"/>
        <v>3.4977575324925496</v>
      </c>
      <c r="I209" s="81">
        <f t="shared" si="18"/>
        <v>-0.83472728907133709</v>
      </c>
      <c r="J209" s="81"/>
      <c r="K209" s="81"/>
      <c r="L209" s="81"/>
      <c r="M209" s="81"/>
      <c r="N209" s="81"/>
    </row>
    <row r="210" spans="2:14" ht="15.75" thickBot="1" x14ac:dyDescent="0.3">
      <c r="B210" s="76">
        <v>44716</v>
      </c>
      <c r="C210" s="77">
        <v>1981408</v>
      </c>
      <c r="D210" s="77">
        <v>1681192</v>
      </c>
      <c r="E210" s="77">
        <v>353016</v>
      </c>
      <c r="F210" s="77">
        <v>2225952</v>
      </c>
      <c r="G210" s="81">
        <f t="shared" si="16"/>
        <v>0.17857329799332855</v>
      </c>
      <c r="H210" s="81">
        <f t="shared" si="17"/>
        <v>3.7623677113785208</v>
      </c>
      <c r="I210" s="81">
        <f t="shared" si="18"/>
        <v>-0.84140897916936219</v>
      </c>
      <c r="J210" s="81"/>
      <c r="K210" s="81"/>
      <c r="L210" s="81"/>
      <c r="M210" s="81"/>
      <c r="N210" s="81"/>
    </row>
    <row r="211" spans="2:14" ht="15.75" thickBot="1" x14ac:dyDescent="0.3">
      <c r="B211" s="76">
        <v>44715</v>
      </c>
      <c r="C211" s="77">
        <v>2332592</v>
      </c>
      <c r="D211" s="77">
        <v>1879885</v>
      </c>
      <c r="E211" s="77">
        <v>419675</v>
      </c>
      <c r="F211" s="77">
        <v>2649808</v>
      </c>
      <c r="G211" s="81">
        <f t="shared" si="16"/>
        <v>0.24081632653061225</v>
      </c>
      <c r="H211" s="81">
        <f t="shared" si="17"/>
        <v>3.4793828557812594</v>
      </c>
      <c r="I211" s="81">
        <f t="shared" si="18"/>
        <v>-0.8416206004359561</v>
      </c>
      <c r="J211" s="81"/>
      <c r="K211" s="81"/>
      <c r="L211" s="81"/>
      <c r="M211" s="81"/>
      <c r="N211" s="81"/>
    </row>
    <row r="212" spans="2:14" ht="15.75" thickBot="1" x14ac:dyDescent="0.3">
      <c r="B212" s="76">
        <v>44714</v>
      </c>
      <c r="C212" s="77">
        <v>2213168</v>
      </c>
      <c r="D212" s="77">
        <v>1815931</v>
      </c>
      <c r="E212" s="77">
        <v>391882</v>
      </c>
      <c r="F212" s="77">
        <v>2623947</v>
      </c>
      <c r="G212" s="81">
        <f t="shared" si="16"/>
        <v>0.21875115298984382</v>
      </c>
      <c r="H212" s="81">
        <f t="shared" si="17"/>
        <v>3.6338719308363228</v>
      </c>
      <c r="I212" s="81">
        <f t="shared" si="18"/>
        <v>-0.850651709047477</v>
      </c>
      <c r="J212" s="81"/>
      <c r="K212" s="81"/>
      <c r="L212" s="81"/>
      <c r="M212" s="81"/>
      <c r="N212" s="81"/>
    </row>
    <row r="213" spans="2:14" ht="15.75" thickBot="1" x14ac:dyDescent="0.3">
      <c r="B213" s="76">
        <v>44713</v>
      </c>
      <c r="C213" s="77">
        <v>1999087</v>
      </c>
      <c r="D213" s="77">
        <v>1587910</v>
      </c>
      <c r="E213" s="77">
        <v>304436</v>
      </c>
      <c r="F213" s="77">
        <v>2370152</v>
      </c>
      <c r="G213" s="81">
        <f t="shared" si="16"/>
        <v>0.25894225743272603</v>
      </c>
      <c r="H213" s="81">
        <f t="shared" si="17"/>
        <v>4.2159074485277692</v>
      </c>
      <c r="I213" s="81">
        <f t="shared" si="18"/>
        <v>-0.87155422943338656</v>
      </c>
      <c r="J213" s="81"/>
      <c r="K213" s="81"/>
      <c r="L213" s="81"/>
      <c r="M213" s="81"/>
      <c r="N213" s="81"/>
    </row>
    <row r="214" spans="2:14" ht="15.75" thickBot="1" x14ac:dyDescent="0.3">
      <c r="B214" s="76">
        <v>44712</v>
      </c>
      <c r="C214" s="77">
        <v>2108054</v>
      </c>
      <c r="D214" s="77">
        <v>1682752</v>
      </c>
      <c r="E214" s="77">
        <v>267742</v>
      </c>
      <c r="F214" s="77">
        <v>2247421</v>
      </c>
      <c r="G214" s="81">
        <f t="shared" si="16"/>
        <v>0.25274193701745706</v>
      </c>
      <c r="H214" s="81">
        <f t="shared" si="17"/>
        <v>5.2849758349455822</v>
      </c>
      <c r="I214" s="81">
        <f t="shared" si="18"/>
        <v>-0.88086700266661211</v>
      </c>
      <c r="J214" s="81"/>
      <c r="K214" s="81"/>
      <c r="L214" s="81"/>
      <c r="M214" s="81"/>
      <c r="N214" s="81"/>
    </row>
    <row r="215" spans="2:14" ht="15.75" thickBot="1" x14ac:dyDescent="0.3">
      <c r="B215" s="76">
        <v>44711</v>
      </c>
      <c r="C215" s="77">
        <v>2312179</v>
      </c>
      <c r="D215" s="77">
        <v>1900170</v>
      </c>
      <c r="E215" s="77">
        <v>353261</v>
      </c>
      <c r="F215" s="77">
        <v>2499002</v>
      </c>
      <c r="G215" s="81">
        <f t="shared" si="16"/>
        <v>0.2168274417552114</v>
      </c>
      <c r="H215" s="81">
        <f t="shared" si="17"/>
        <v>4.378940783160326</v>
      </c>
      <c r="I215" s="81">
        <f t="shared" si="18"/>
        <v>-0.85863916875616741</v>
      </c>
      <c r="J215" s="81"/>
      <c r="K215" s="81"/>
      <c r="L215" s="81"/>
      <c r="M215" s="81"/>
      <c r="N215" s="81"/>
    </row>
    <row r="216" spans="2:14" ht="15.75" thickBot="1" x14ac:dyDescent="0.3">
      <c r="B216" s="76">
        <v>44710</v>
      </c>
      <c r="C216" s="77">
        <v>2096466</v>
      </c>
      <c r="D216" s="77">
        <v>1650454</v>
      </c>
      <c r="E216" s="77">
        <v>352947</v>
      </c>
      <c r="F216" s="77">
        <v>2555578</v>
      </c>
      <c r="G216" s="81">
        <f t="shared" si="16"/>
        <v>0.27023594719998245</v>
      </c>
      <c r="H216" s="81">
        <f t="shared" si="17"/>
        <v>3.6762091758819313</v>
      </c>
      <c r="I216" s="81">
        <f t="shared" si="18"/>
        <v>-0.86189151730058722</v>
      </c>
      <c r="J216" s="81"/>
      <c r="K216" s="81"/>
      <c r="L216" s="81"/>
      <c r="M216" s="81"/>
      <c r="N216" s="81"/>
    </row>
    <row r="217" spans="2:14" ht="15.75" thickBot="1" x14ac:dyDescent="0.3">
      <c r="B217" s="76">
        <v>44709</v>
      </c>
      <c r="C217" s="77">
        <v>1994151</v>
      </c>
      <c r="D217" s="77">
        <v>1605810</v>
      </c>
      <c r="E217" s="77">
        <v>268867</v>
      </c>
      <c r="F217" s="77">
        <v>2117180</v>
      </c>
      <c r="G217" s="81">
        <f t="shared" si="16"/>
        <v>0.24183496179498198</v>
      </c>
      <c r="H217" s="81">
        <f t="shared" si="17"/>
        <v>4.9725068528305814</v>
      </c>
      <c r="I217" s="81">
        <f t="shared" si="18"/>
        <v>-0.873007018770251</v>
      </c>
      <c r="J217" s="81"/>
      <c r="K217" s="81"/>
      <c r="L217" s="81"/>
      <c r="M217" s="81"/>
      <c r="N217" s="81"/>
    </row>
    <row r="218" spans="2:14" ht="15.75" thickBot="1" x14ac:dyDescent="0.3">
      <c r="B218" s="76">
        <v>44708</v>
      </c>
      <c r="C218" s="77">
        <v>2384721</v>
      </c>
      <c r="D218" s="77">
        <v>1959593</v>
      </c>
      <c r="E218" s="77">
        <v>327133</v>
      </c>
      <c r="F218" s="77">
        <v>2570613</v>
      </c>
      <c r="G218" s="81">
        <f t="shared" si="16"/>
        <v>0.21694709054380179</v>
      </c>
      <c r="H218" s="81">
        <f t="shared" si="17"/>
        <v>4.9902027615679252</v>
      </c>
      <c r="I218" s="81">
        <f t="shared" si="18"/>
        <v>-0.87274124887721327</v>
      </c>
      <c r="J218" s="81"/>
      <c r="K218" s="81"/>
      <c r="L218" s="81"/>
      <c r="M218" s="81"/>
      <c r="N218" s="81"/>
    </row>
    <row r="219" spans="2:14" ht="15.75" thickBot="1" x14ac:dyDescent="0.3">
      <c r="B219" s="76">
        <v>44707</v>
      </c>
      <c r="C219" s="77">
        <v>2379860</v>
      </c>
      <c r="D219" s="77">
        <v>1854534</v>
      </c>
      <c r="E219" s="77">
        <v>321776</v>
      </c>
      <c r="F219" s="77">
        <v>2485770</v>
      </c>
      <c r="G219" s="81">
        <f t="shared" si="16"/>
        <v>0.28326576919053514</v>
      </c>
      <c r="H219" s="81">
        <f t="shared" si="17"/>
        <v>4.7634317040425636</v>
      </c>
      <c r="I219" s="81">
        <f t="shared" si="18"/>
        <v>-0.87055278646053336</v>
      </c>
      <c r="J219" s="81"/>
      <c r="K219" s="81"/>
      <c r="L219" s="81"/>
      <c r="M219" s="81"/>
      <c r="N219" s="81"/>
    </row>
    <row r="220" spans="2:14" ht="15.75" thickBot="1" x14ac:dyDescent="0.3">
      <c r="B220" s="76">
        <v>44706</v>
      </c>
      <c r="C220" s="77">
        <v>2147736</v>
      </c>
      <c r="D220" s="77">
        <v>1618169</v>
      </c>
      <c r="E220" s="77">
        <v>261170</v>
      </c>
      <c r="F220" s="77">
        <v>2269035</v>
      </c>
      <c r="G220" s="81">
        <f t="shared" si="16"/>
        <v>0.32726309798296715</v>
      </c>
      <c r="H220" s="81">
        <f t="shared" si="17"/>
        <v>5.1958456177968371</v>
      </c>
      <c r="I220" s="81">
        <f t="shared" si="18"/>
        <v>-0.8848982056248581</v>
      </c>
      <c r="J220" s="81"/>
      <c r="K220" s="81"/>
      <c r="L220" s="81"/>
      <c r="M220" s="81"/>
      <c r="N220" s="81"/>
    </row>
    <row r="221" spans="2:14" ht="15.75" thickBot="1" x14ac:dyDescent="0.3">
      <c r="B221" s="76">
        <v>44705</v>
      </c>
      <c r="C221" s="77">
        <v>2020742</v>
      </c>
      <c r="D221" s="77">
        <v>1470840</v>
      </c>
      <c r="E221" s="77">
        <v>264843</v>
      </c>
      <c r="F221" s="77">
        <v>2453649</v>
      </c>
      <c r="G221" s="81">
        <f t="shared" si="16"/>
        <v>0.37386935356666928</v>
      </c>
      <c r="H221" s="81">
        <f t="shared" si="17"/>
        <v>4.5536298863855187</v>
      </c>
      <c r="I221" s="81">
        <f t="shared" si="18"/>
        <v>-0.89206157848983292</v>
      </c>
      <c r="J221" s="81"/>
      <c r="K221" s="81"/>
      <c r="L221" s="81"/>
      <c r="M221" s="81"/>
      <c r="N221" s="81"/>
    </row>
    <row r="222" spans="2:14" ht="15.75" thickBot="1" x14ac:dyDescent="0.3">
      <c r="B222" s="76">
        <v>44704</v>
      </c>
      <c r="C222" s="77">
        <v>2329044</v>
      </c>
      <c r="D222" s="77">
        <v>1747353</v>
      </c>
      <c r="E222" s="77">
        <v>340769</v>
      </c>
      <c r="F222" s="77">
        <v>2512237</v>
      </c>
      <c r="G222" s="81">
        <f t="shared" si="16"/>
        <v>0.33289838973578889</v>
      </c>
      <c r="H222" s="81">
        <f t="shared" si="17"/>
        <v>4.1276759329633856</v>
      </c>
      <c r="I222" s="81">
        <f t="shared" si="18"/>
        <v>-0.86435634854514121</v>
      </c>
      <c r="J222" s="81"/>
      <c r="K222" s="81"/>
      <c r="L222" s="81"/>
      <c r="M222" s="81"/>
      <c r="N222" s="81"/>
    </row>
    <row r="223" spans="2:14" ht="15.75" thickBot="1" x14ac:dyDescent="0.3">
      <c r="B223" s="76">
        <v>44703</v>
      </c>
      <c r="C223" s="77">
        <v>2350927</v>
      </c>
      <c r="D223" s="77">
        <v>1863697</v>
      </c>
      <c r="E223" s="77">
        <v>267451</v>
      </c>
      <c r="F223" s="77">
        <v>2070716</v>
      </c>
      <c r="G223" s="81">
        <f t="shared" si="16"/>
        <v>0.26143198170088811</v>
      </c>
      <c r="H223" s="81">
        <f t="shared" si="17"/>
        <v>5.9683680375096744</v>
      </c>
      <c r="I223" s="81">
        <f t="shared" si="18"/>
        <v>-0.87084129354290973</v>
      </c>
      <c r="J223" s="81"/>
      <c r="K223" s="81"/>
      <c r="L223" s="81"/>
      <c r="M223" s="81"/>
      <c r="N223" s="81"/>
    </row>
    <row r="224" spans="2:14" ht="15.75" thickBot="1" x14ac:dyDescent="0.3">
      <c r="B224" s="76">
        <v>44702</v>
      </c>
      <c r="C224" s="77">
        <v>1988843</v>
      </c>
      <c r="D224" s="77">
        <v>1550044</v>
      </c>
      <c r="E224" s="77">
        <v>253190</v>
      </c>
      <c r="F224" s="77">
        <v>2124825</v>
      </c>
      <c r="G224" s="81">
        <f t="shared" si="16"/>
        <v>0.28308809298316695</v>
      </c>
      <c r="H224" s="81">
        <f t="shared" si="17"/>
        <v>5.1220585331174213</v>
      </c>
      <c r="I224" s="81">
        <f t="shared" si="18"/>
        <v>-0.88084195169013924</v>
      </c>
      <c r="J224" s="81"/>
      <c r="K224" s="81"/>
      <c r="L224" s="81"/>
      <c r="M224" s="81"/>
      <c r="N224" s="81"/>
    </row>
    <row r="225" spans="2:14" ht="15.75" thickBot="1" x14ac:dyDescent="0.3">
      <c r="B225" s="76">
        <v>44701</v>
      </c>
      <c r="C225" s="77">
        <v>2346625</v>
      </c>
      <c r="D225" s="77">
        <v>1820433</v>
      </c>
      <c r="E225" s="77">
        <v>348673</v>
      </c>
      <c r="F225" s="77">
        <v>2792670</v>
      </c>
      <c r="G225" s="81">
        <f t="shared" si="16"/>
        <v>0.28904771557096587</v>
      </c>
      <c r="H225" s="81">
        <f t="shared" si="17"/>
        <v>4.2210323139445842</v>
      </c>
      <c r="I225" s="81">
        <f t="shared" si="18"/>
        <v>-0.87514708146683995</v>
      </c>
      <c r="J225" s="81"/>
      <c r="K225" s="81"/>
      <c r="L225" s="81"/>
      <c r="M225" s="81"/>
      <c r="N225" s="81"/>
    </row>
    <row r="226" spans="2:14" ht="15.75" thickBot="1" x14ac:dyDescent="0.3">
      <c r="B226" s="76">
        <v>44700</v>
      </c>
      <c r="C226" s="77">
        <v>2348193</v>
      </c>
      <c r="D226" s="77">
        <v>1728496</v>
      </c>
      <c r="E226" s="77">
        <v>318449</v>
      </c>
      <c r="F226" s="77">
        <v>2673635</v>
      </c>
      <c r="G226" s="81">
        <f t="shared" si="16"/>
        <v>0.35851804111782726</v>
      </c>
      <c r="H226" s="81">
        <f t="shared" si="17"/>
        <v>4.4278581499706391</v>
      </c>
      <c r="I226" s="81">
        <f t="shared" si="18"/>
        <v>-0.88089286682737167</v>
      </c>
      <c r="J226" s="81"/>
      <c r="K226" s="81"/>
      <c r="L226" s="81"/>
      <c r="M226" s="81"/>
      <c r="N226" s="81"/>
    </row>
    <row r="227" spans="2:14" ht="15.75" thickBot="1" x14ac:dyDescent="0.3">
      <c r="B227" s="76">
        <v>44699</v>
      </c>
      <c r="C227" s="77">
        <v>2097515</v>
      </c>
      <c r="D227" s="77">
        <v>1496089</v>
      </c>
      <c r="E227" s="77">
        <v>230367</v>
      </c>
      <c r="F227" s="77">
        <v>2472123</v>
      </c>
      <c r="G227" s="81">
        <f t="shared" si="16"/>
        <v>0.40199881156802841</v>
      </c>
      <c r="H227" s="81">
        <f t="shared" si="17"/>
        <v>5.4943720237707661</v>
      </c>
      <c r="I227" s="81">
        <f t="shared" si="18"/>
        <v>-0.90681410269634644</v>
      </c>
      <c r="J227" s="81"/>
      <c r="K227" s="81"/>
      <c r="L227" s="81"/>
      <c r="M227" s="81"/>
      <c r="N227" s="81"/>
    </row>
    <row r="228" spans="2:14" ht="15.75" thickBot="1" x14ac:dyDescent="0.3">
      <c r="B228" s="76">
        <v>44698</v>
      </c>
      <c r="C228" s="77">
        <v>2036479</v>
      </c>
      <c r="D228" s="77">
        <v>1408017</v>
      </c>
      <c r="E228" s="77">
        <v>190477</v>
      </c>
      <c r="F228" s="77">
        <v>2312727</v>
      </c>
      <c r="G228" s="81">
        <f t="shared" si="16"/>
        <v>0.44634546315847046</v>
      </c>
      <c r="H228" s="81">
        <f t="shared" si="17"/>
        <v>6.3920578337542064</v>
      </c>
      <c r="I228" s="81">
        <f t="shared" si="18"/>
        <v>-0.91763965223738042</v>
      </c>
      <c r="J228" s="81"/>
      <c r="K228" s="81"/>
      <c r="L228" s="81"/>
      <c r="M228" s="81"/>
      <c r="N228" s="81"/>
    </row>
    <row r="229" spans="2:14" ht="15.75" thickBot="1" x14ac:dyDescent="0.3">
      <c r="B229" s="76">
        <v>44697</v>
      </c>
      <c r="C229" s="77">
        <v>2278197</v>
      </c>
      <c r="D229" s="77">
        <v>1734541</v>
      </c>
      <c r="E229" s="77">
        <v>244176</v>
      </c>
      <c r="F229" s="77">
        <v>2615691</v>
      </c>
      <c r="G229" s="81">
        <f t="shared" si="16"/>
        <v>0.31342931645893635</v>
      </c>
      <c r="H229" s="81">
        <f t="shared" si="17"/>
        <v>6.1036506454360788</v>
      </c>
      <c r="I229" s="81">
        <f t="shared" si="18"/>
        <v>-0.90664952396900089</v>
      </c>
      <c r="J229" s="81"/>
      <c r="K229" s="81"/>
      <c r="L229" s="81"/>
      <c r="M229" s="81"/>
      <c r="N229" s="81"/>
    </row>
    <row r="230" spans="2:14" ht="15.75" thickBot="1" x14ac:dyDescent="0.3">
      <c r="B230" s="76">
        <v>44696</v>
      </c>
      <c r="C230" s="77">
        <v>2395894</v>
      </c>
      <c r="D230" s="77">
        <v>1850531</v>
      </c>
      <c r="E230" s="77">
        <v>253807</v>
      </c>
      <c r="F230" s="77">
        <v>2620276</v>
      </c>
      <c r="G230" s="81">
        <f t="shared" si="16"/>
        <v>0.29470622216001785</v>
      </c>
      <c r="H230" s="81">
        <f t="shared" si="17"/>
        <v>6.2910952022599851</v>
      </c>
      <c r="I230" s="81">
        <f t="shared" si="18"/>
        <v>-0.9031373030932619</v>
      </c>
      <c r="J230" s="81"/>
      <c r="K230" s="81"/>
      <c r="L230" s="81"/>
      <c r="M230" s="81"/>
      <c r="N230" s="81"/>
    </row>
    <row r="231" spans="2:14" ht="15.75" thickBot="1" x14ac:dyDescent="0.3">
      <c r="B231" s="76">
        <v>44695</v>
      </c>
      <c r="C231" s="77">
        <v>1979713</v>
      </c>
      <c r="D231" s="77">
        <v>1453267</v>
      </c>
      <c r="E231" s="77">
        <v>193340</v>
      </c>
      <c r="F231" s="77">
        <v>2091116</v>
      </c>
      <c r="G231" s="81">
        <f t="shared" si="16"/>
        <v>0.36225002012706553</v>
      </c>
      <c r="H231" s="81">
        <f t="shared" si="17"/>
        <v>6.516639081410986</v>
      </c>
      <c r="I231" s="81">
        <f t="shared" si="18"/>
        <v>-0.90754219278127091</v>
      </c>
      <c r="J231" s="81"/>
      <c r="K231" s="81"/>
      <c r="L231" s="81"/>
      <c r="M231" s="81"/>
      <c r="N231" s="81"/>
    </row>
    <row r="232" spans="2:14" ht="15.75" thickBot="1" x14ac:dyDescent="0.3">
      <c r="B232" s="76">
        <v>44694</v>
      </c>
      <c r="C232" s="77">
        <v>2352035</v>
      </c>
      <c r="D232" s="77">
        <v>1716561</v>
      </c>
      <c r="E232" s="77">
        <v>250467</v>
      </c>
      <c r="F232" s="77">
        <v>2664549</v>
      </c>
      <c r="G232" s="81">
        <f t="shared" si="16"/>
        <v>0.3702018163059746</v>
      </c>
      <c r="H232" s="81">
        <f t="shared" si="17"/>
        <v>5.8534417707721973</v>
      </c>
      <c r="I232" s="81">
        <f t="shared" si="18"/>
        <v>-0.90600022743060837</v>
      </c>
      <c r="J232" s="81"/>
      <c r="K232" s="81"/>
      <c r="L232" s="81"/>
      <c r="M232" s="81"/>
      <c r="N232" s="81"/>
    </row>
    <row r="233" spans="2:14" ht="15.75" thickBot="1" x14ac:dyDescent="0.3">
      <c r="B233" s="76">
        <v>44693</v>
      </c>
      <c r="C233" s="77">
        <v>2327671</v>
      </c>
      <c r="D233" s="77">
        <v>1743515</v>
      </c>
      <c r="E233" s="77">
        <v>234928</v>
      </c>
      <c r="F233" s="77">
        <v>2611324</v>
      </c>
      <c r="G233" s="81">
        <f t="shared" si="16"/>
        <v>0.33504500965004613</v>
      </c>
      <c r="H233" s="81">
        <f t="shared" si="17"/>
        <v>6.4214865831233396</v>
      </c>
      <c r="I233" s="81">
        <f t="shared" si="18"/>
        <v>-0.91003490949418764</v>
      </c>
      <c r="J233" s="81"/>
      <c r="K233" s="81"/>
      <c r="L233" s="81"/>
      <c r="M233" s="81"/>
      <c r="N233" s="81"/>
    </row>
    <row r="234" spans="2:14" ht="15.75" thickBot="1" x14ac:dyDescent="0.3">
      <c r="B234" s="76">
        <v>44692</v>
      </c>
      <c r="C234" s="77">
        <v>2025161</v>
      </c>
      <c r="D234" s="77">
        <v>1424664</v>
      </c>
      <c r="E234" s="77">
        <v>176667</v>
      </c>
      <c r="F234" s="77">
        <v>2343675</v>
      </c>
      <c r="G234" s="81">
        <f t="shared" si="16"/>
        <v>0.42150078895795784</v>
      </c>
      <c r="H234" s="81">
        <f t="shared" si="17"/>
        <v>7.0641206337346532</v>
      </c>
      <c r="I234" s="81">
        <f t="shared" si="18"/>
        <v>-0.92461966782937055</v>
      </c>
      <c r="J234" s="81"/>
      <c r="K234" s="81"/>
      <c r="L234" s="81"/>
      <c r="M234" s="81"/>
      <c r="N234" s="81"/>
    </row>
    <row r="235" spans="2:14" ht="15.75" thickBot="1" x14ac:dyDescent="0.3">
      <c r="B235" s="76">
        <v>44691</v>
      </c>
      <c r="C235" s="77">
        <v>1900738</v>
      </c>
      <c r="D235" s="77">
        <v>1315493</v>
      </c>
      <c r="E235" s="77">
        <v>163205</v>
      </c>
      <c r="F235" s="77">
        <v>2191387</v>
      </c>
      <c r="G235" s="81">
        <f t="shared" si="16"/>
        <v>0.44488644181306936</v>
      </c>
      <c r="H235" s="81">
        <f t="shared" si="17"/>
        <v>7.0603719248797532</v>
      </c>
      <c r="I235" s="81">
        <f t="shared" si="18"/>
        <v>-0.92552433686975422</v>
      </c>
      <c r="J235" s="81"/>
      <c r="K235" s="81"/>
      <c r="L235" s="81"/>
      <c r="M235" s="81"/>
      <c r="N235" s="81"/>
    </row>
    <row r="236" spans="2:14" ht="15.75" thickBot="1" x14ac:dyDescent="0.3">
      <c r="B236" s="76">
        <v>44690</v>
      </c>
      <c r="C236" s="77">
        <v>2231804</v>
      </c>
      <c r="D236" s="77">
        <v>1657722</v>
      </c>
      <c r="E236" s="77">
        <v>215645</v>
      </c>
      <c r="F236" s="77">
        <v>2512315</v>
      </c>
      <c r="G236" s="81">
        <f t="shared" si="16"/>
        <v>0.34630776451057543</v>
      </c>
      <c r="H236" s="81">
        <f t="shared" si="17"/>
        <v>6.6872730645273482</v>
      </c>
      <c r="I236" s="81">
        <f t="shared" si="18"/>
        <v>-0.91416482407659871</v>
      </c>
      <c r="J236" s="81"/>
      <c r="K236" s="81"/>
      <c r="L236" s="81"/>
      <c r="M236" s="81"/>
      <c r="N236" s="81"/>
    </row>
    <row r="237" spans="2:14" ht="15.75" thickBot="1" x14ac:dyDescent="0.3">
      <c r="B237" s="76">
        <v>44689</v>
      </c>
      <c r="C237" s="77">
        <v>2248861</v>
      </c>
      <c r="D237" s="77">
        <v>1707805</v>
      </c>
      <c r="E237" s="77">
        <v>200815</v>
      </c>
      <c r="F237" s="77">
        <v>2419114</v>
      </c>
      <c r="G237" s="81">
        <f t="shared" si="16"/>
        <v>0.31681368774538066</v>
      </c>
      <c r="H237" s="81">
        <f t="shared" si="17"/>
        <v>7.5043696934989921</v>
      </c>
      <c r="I237" s="81">
        <f t="shared" si="18"/>
        <v>-0.91698820311899309</v>
      </c>
      <c r="J237" s="81"/>
      <c r="K237" s="81"/>
      <c r="L237" s="81"/>
      <c r="M237" s="81"/>
      <c r="N237" s="81"/>
    </row>
    <row r="238" spans="2:14" ht="15.75" thickBot="1" x14ac:dyDescent="0.3">
      <c r="B238" s="76">
        <v>44688</v>
      </c>
      <c r="C238" s="77">
        <v>1869222</v>
      </c>
      <c r="D238" s="77">
        <v>1429657</v>
      </c>
      <c r="E238" s="77">
        <v>169580</v>
      </c>
      <c r="F238" s="77">
        <v>1985942</v>
      </c>
      <c r="G238" s="81">
        <f t="shared" si="16"/>
        <v>0.30746185973278894</v>
      </c>
      <c r="H238" s="81">
        <f t="shared" si="17"/>
        <v>7.4305755395683448</v>
      </c>
      <c r="I238" s="81">
        <f t="shared" si="18"/>
        <v>-0.91460979222958172</v>
      </c>
      <c r="J238" s="81"/>
      <c r="K238" s="81"/>
      <c r="L238" s="81"/>
      <c r="M238" s="81"/>
      <c r="N238" s="81"/>
    </row>
    <row r="239" spans="2:14" ht="15.75" thickBot="1" x14ac:dyDescent="0.3">
      <c r="B239" s="76">
        <v>44687</v>
      </c>
      <c r="C239" s="77">
        <v>2279258</v>
      </c>
      <c r="D239" s="77">
        <v>1703267</v>
      </c>
      <c r="E239" s="77">
        <v>215444</v>
      </c>
      <c r="F239" s="77">
        <v>2602631</v>
      </c>
      <c r="G239" s="81">
        <f t="shared" si="16"/>
        <v>0.33816835528428602</v>
      </c>
      <c r="H239" s="81">
        <f t="shared" si="17"/>
        <v>6.9058456025695776</v>
      </c>
      <c r="I239" s="81">
        <f t="shared" si="18"/>
        <v>-0.9172206893716397</v>
      </c>
      <c r="J239" s="81"/>
      <c r="K239" s="81"/>
      <c r="L239" s="81"/>
      <c r="M239" s="81"/>
      <c r="N239" s="81"/>
    </row>
    <row r="240" spans="2:14" ht="15.75" thickBot="1" x14ac:dyDescent="0.3">
      <c r="B240" s="76">
        <v>44686</v>
      </c>
      <c r="C240" s="77">
        <v>2234701</v>
      </c>
      <c r="D240" s="77">
        <v>1644050</v>
      </c>
      <c r="E240" s="77">
        <v>190863</v>
      </c>
      <c r="F240" s="77">
        <v>2555342</v>
      </c>
      <c r="G240" s="81">
        <f t="shared" si="16"/>
        <v>0.35926583741370388</v>
      </c>
      <c r="H240" s="81">
        <f t="shared" si="17"/>
        <v>7.6137700863970483</v>
      </c>
      <c r="I240" s="81">
        <f t="shared" si="18"/>
        <v>-0.92530823662742601</v>
      </c>
      <c r="J240" s="81"/>
      <c r="K240" s="81"/>
      <c r="L240" s="81"/>
      <c r="M240" s="81"/>
      <c r="N240" s="81"/>
    </row>
    <row r="241" spans="2:14" ht="15.75" thickBot="1" x14ac:dyDescent="0.3">
      <c r="B241" s="76">
        <v>44685</v>
      </c>
      <c r="C241" s="77">
        <v>1953128</v>
      </c>
      <c r="D241" s="77">
        <v>1268938</v>
      </c>
      <c r="E241" s="77">
        <v>140409</v>
      </c>
      <c r="F241" s="77">
        <v>2270662</v>
      </c>
      <c r="G241" s="81">
        <f t="shared" si="16"/>
        <v>0.53918315946090356</v>
      </c>
      <c r="H241" s="81">
        <f t="shared" si="17"/>
        <v>8.0374406199032826</v>
      </c>
      <c r="I241" s="81">
        <f t="shared" si="18"/>
        <v>-0.93816384825218369</v>
      </c>
      <c r="J241" s="81"/>
      <c r="K241" s="81"/>
      <c r="L241" s="81"/>
      <c r="M241" s="81"/>
      <c r="N241" s="81"/>
    </row>
    <row r="242" spans="2:14" ht="15.75" thickBot="1" x14ac:dyDescent="0.3">
      <c r="B242" s="76">
        <v>44684</v>
      </c>
      <c r="C242" s="77">
        <v>1764745</v>
      </c>
      <c r="D242" s="77">
        <v>1134103</v>
      </c>
      <c r="E242" s="77">
        <v>130601</v>
      </c>
      <c r="F242" s="77">
        <v>2106597</v>
      </c>
      <c r="G242" s="81">
        <f t="shared" si="16"/>
        <v>0.55607118577413162</v>
      </c>
      <c r="H242" s="81">
        <f t="shared" si="17"/>
        <v>7.6837237080879923</v>
      </c>
      <c r="I242" s="81">
        <f t="shared" si="18"/>
        <v>-0.93800380423972884</v>
      </c>
      <c r="J242" s="81"/>
      <c r="K242" s="81"/>
      <c r="L242" s="81"/>
      <c r="M242" s="81"/>
      <c r="N242" s="81"/>
    </row>
    <row r="243" spans="2:14" ht="15.75" thickBot="1" x14ac:dyDescent="0.3">
      <c r="B243" s="76">
        <v>44683</v>
      </c>
      <c r="C243" s="77">
        <v>2136427</v>
      </c>
      <c r="D243" s="77">
        <v>1463672</v>
      </c>
      <c r="E243" s="77">
        <v>163692</v>
      </c>
      <c r="F243" s="77">
        <v>2470969</v>
      </c>
      <c r="G243" s="81">
        <f t="shared" si="16"/>
        <v>0.45963508217688109</v>
      </c>
      <c r="H243" s="81">
        <f t="shared" si="17"/>
        <v>7.9416220707181786</v>
      </c>
      <c r="I243" s="81">
        <f t="shared" si="18"/>
        <v>-0.93375392406784541</v>
      </c>
      <c r="J243" s="81"/>
      <c r="K243" s="81"/>
      <c r="L243" s="81"/>
      <c r="M243" s="81"/>
      <c r="N243" s="81"/>
    </row>
    <row r="244" spans="2:14" ht="15.75" thickBot="1" x14ac:dyDescent="0.3">
      <c r="B244" s="76">
        <v>44682</v>
      </c>
      <c r="C244" s="77">
        <v>2263646</v>
      </c>
      <c r="D244" s="77">
        <v>1626962</v>
      </c>
      <c r="E244" s="77">
        <v>170254</v>
      </c>
      <c r="F244" s="77">
        <v>2512598</v>
      </c>
      <c r="G244" s="81">
        <f t="shared" si="16"/>
        <v>0.39133304895873411</v>
      </c>
      <c r="H244" s="81">
        <f t="shared" si="17"/>
        <v>8.5560867879756124</v>
      </c>
      <c r="I244" s="81">
        <f t="shared" si="18"/>
        <v>-0.93223985691304379</v>
      </c>
      <c r="J244" s="81"/>
      <c r="K244" s="81"/>
      <c r="L244" s="81"/>
      <c r="M244" s="81"/>
      <c r="N244" s="81"/>
    </row>
    <row r="245" spans="2:14" ht="15.75" thickBot="1" x14ac:dyDescent="0.3">
      <c r="B245" s="76">
        <v>44681</v>
      </c>
      <c r="C245" s="77">
        <v>1877559</v>
      </c>
      <c r="D245" s="77">
        <v>1335535</v>
      </c>
      <c r="E245" s="77">
        <v>134261</v>
      </c>
      <c r="F245" s="77">
        <v>1968278</v>
      </c>
      <c r="G245" s="81">
        <f t="shared" si="16"/>
        <v>0.40584784374801108</v>
      </c>
      <c r="H245" s="81">
        <f t="shared" si="17"/>
        <v>8.947304131505053</v>
      </c>
      <c r="I245" s="81">
        <f t="shared" si="18"/>
        <v>-0.93178758285160934</v>
      </c>
      <c r="J245" s="81"/>
      <c r="K245" s="81"/>
      <c r="L245" s="81"/>
      <c r="M245" s="81"/>
      <c r="N245" s="81"/>
    </row>
    <row r="246" spans="2:14" ht="15.75" thickBot="1" x14ac:dyDescent="0.3">
      <c r="B246" s="76">
        <v>44680</v>
      </c>
      <c r="C246" s="77">
        <v>2275133</v>
      </c>
      <c r="D246" s="77">
        <v>1558553</v>
      </c>
      <c r="E246" s="77">
        <v>171563</v>
      </c>
      <c r="F246" s="77">
        <v>2546029</v>
      </c>
      <c r="G246" s="81">
        <f t="shared" si="16"/>
        <v>0.4597726224260581</v>
      </c>
      <c r="H246" s="81">
        <f t="shared" si="17"/>
        <v>8.084435455197216</v>
      </c>
      <c r="I246" s="81">
        <f t="shared" si="18"/>
        <v>-0.93261545724734485</v>
      </c>
      <c r="J246" s="81"/>
      <c r="K246" s="81"/>
      <c r="L246" s="81"/>
      <c r="M246" s="81"/>
      <c r="N246" s="81"/>
    </row>
    <row r="247" spans="2:14" ht="15.75" thickBot="1" x14ac:dyDescent="0.3">
      <c r="B247" s="76">
        <v>44679</v>
      </c>
      <c r="C247" s="77">
        <v>2258077</v>
      </c>
      <c r="D247" s="77">
        <v>1526681</v>
      </c>
      <c r="E247" s="77">
        <v>154695</v>
      </c>
      <c r="F247" s="77">
        <v>2499461</v>
      </c>
      <c r="G247" s="81">
        <f t="shared" si="16"/>
        <v>0.47907585147126341</v>
      </c>
      <c r="H247" s="81">
        <f t="shared" si="17"/>
        <v>8.8689744335628173</v>
      </c>
      <c r="I247" s="81">
        <f t="shared" si="18"/>
        <v>-0.93810865622628237</v>
      </c>
      <c r="J247" s="81"/>
      <c r="K247" s="81"/>
      <c r="L247" s="81"/>
      <c r="M247" s="81"/>
      <c r="N247" s="81"/>
    </row>
    <row r="248" spans="2:14" ht="15.75" thickBot="1" x14ac:dyDescent="0.3">
      <c r="B248" s="76">
        <v>44678</v>
      </c>
      <c r="C248" s="77">
        <v>1996601</v>
      </c>
      <c r="D248" s="77">
        <v>1184326</v>
      </c>
      <c r="E248" s="77">
        <v>119629</v>
      </c>
      <c r="F248" s="77">
        <v>2256442</v>
      </c>
      <c r="G248" s="81">
        <f t="shared" si="16"/>
        <v>0.68585423270282009</v>
      </c>
      <c r="H248" s="81">
        <f t="shared" si="17"/>
        <v>8.8999908049051655</v>
      </c>
      <c r="I248" s="81">
        <f t="shared" si="18"/>
        <v>-0.94698334812062535</v>
      </c>
      <c r="J248" s="81"/>
      <c r="K248" s="81"/>
      <c r="L248" s="81"/>
      <c r="M248" s="81"/>
      <c r="N248" s="81"/>
    </row>
    <row r="249" spans="2:14" ht="15.75" thickBot="1" x14ac:dyDescent="0.3">
      <c r="B249" s="76">
        <v>44677</v>
      </c>
      <c r="C249" s="77">
        <v>1863020</v>
      </c>
      <c r="D249" s="77">
        <v>1077199</v>
      </c>
      <c r="E249" s="77">
        <v>110913</v>
      </c>
      <c r="F249" s="77">
        <v>2102068</v>
      </c>
      <c r="G249" s="81">
        <f t="shared" si="16"/>
        <v>0.72950401922021846</v>
      </c>
      <c r="H249" s="81">
        <f t="shared" si="17"/>
        <v>8.712107688007718</v>
      </c>
      <c r="I249" s="81">
        <f t="shared" si="18"/>
        <v>-0.94723624544971907</v>
      </c>
      <c r="J249" s="81"/>
      <c r="K249" s="81"/>
      <c r="L249" s="81"/>
      <c r="M249" s="81"/>
      <c r="N249" s="81"/>
    </row>
    <row r="250" spans="2:14" ht="15.75" thickBot="1" x14ac:dyDescent="0.3">
      <c r="B250" s="76">
        <v>44676</v>
      </c>
      <c r="C250" s="77">
        <v>2182717</v>
      </c>
      <c r="D250" s="77">
        <v>1369410</v>
      </c>
      <c r="E250" s="77">
        <v>119854</v>
      </c>
      <c r="F250" s="77">
        <v>2412770</v>
      </c>
      <c r="G250" s="81">
        <f t="shared" si="16"/>
        <v>0.59391051620770985</v>
      </c>
      <c r="H250" s="81">
        <f t="shared" si="17"/>
        <v>10.425651208970915</v>
      </c>
      <c r="I250" s="81">
        <f t="shared" si="18"/>
        <v>-0.95032514495787002</v>
      </c>
      <c r="J250" s="81"/>
      <c r="K250" s="81"/>
      <c r="L250" s="81"/>
      <c r="M250" s="81"/>
      <c r="N250" s="81"/>
    </row>
    <row r="251" spans="2:14" ht="15.75" thickBot="1" x14ac:dyDescent="0.3">
      <c r="B251" s="76">
        <v>44675</v>
      </c>
      <c r="C251" s="77">
        <v>2293427</v>
      </c>
      <c r="D251" s="77">
        <v>1571220</v>
      </c>
      <c r="E251" s="77">
        <v>128875</v>
      </c>
      <c r="F251" s="77">
        <v>2506809</v>
      </c>
      <c r="G251" s="81">
        <f t="shared" si="16"/>
        <v>0.45964728045722425</v>
      </c>
      <c r="H251" s="81">
        <f t="shared" si="17"/>
        <v>11.191813773035888</v>
      </c>
      <c r="I251" s="81">
        <f t="shared" si="18"/>
        <v>-0.94859002022092631</v>
      </c>
      <c r="J251" s="81"/>
      <c r="K251" s="81"/>
      <c r="L251" s="81"/>
      <c r="M251" s="81"/>
      <c r="N251" s="81"/>
    </row>
    <row r="252" spans="2:14" ht="15.75" thickBot="1" x14ac:dyDescent="0.3">
      <c r="B252" s="76">
        <v>44674</v>
      </c>
      <c r="C252" s="77">
        <v>1826772</v>
      </c>
      <c r="D252" s="77">
        <v>1259724</v>
      </c>
      <c r="E252" s="77">
        <v>114459</v>
      </c>
      <c r="F252" s="77">
        <v>1990464</v>
      </c>
      <c r="G252" s="81">
        <f t="shared" si="16"/>
        <v>0.45013669660973354</v>
      </c>
      <c r="H252" s="81">
        <f t="shared" si="17"/>
        <v>10.005897308206432</v>
      </c>
      <c r="I252" s="81">
        <f t="shared" si="18"/>
        <v>-0.94249632246551562</v>
      </c>
      <c r="J252" s="81"/>
      <c r="K252" s="81"/>
      <c r="L252" s="81"/>
      <c r="M252" s="81"/>
      <c r="N252" s="81"/>
    </row>
    <row r="253" spans="2:14" ht="15.75" thickBot="1" x14ac:dyDescent="0.3">
      <c r="B253" s="76">
        <v>44673</v>
      </c>
      <c r="C253" s="77">
        <v>2293242</v>
      </c>
      <c r="D253" s="77">
        <v>1521393</v>
      </c>
      <c r="E253" s="77">
        <v>123464</v>
      </c>
      <c r="F253" s="77">
        <v>2521897</v>
      </c>
      <c r="G253" s="81">
        <f t="shared" si="16"/>
        <v>0.5073304530781988</v>
      </c>
      <c r="H253" s="81">
        <f t="shared" si="17"/>
        <v>11.322563662282123</v>
      </c>
      <c r="I253" s="81">
        <f t="shared" si="18"/>
        <v>-0.95104320279535604</v>
      </c>
      <c r="J253" s="81"/>
      <c r="K253" s="81"/>
      <c r="L253" s="81"/>
      <c r="M253" s="81"/>
      <c r="N253" s="81"/>
    </row>
    <row r="254" spans="2:14" ht="15.75" thickBot="1" x14ac:dyDescent="0.3">
      <c r="B254" s="76">
        <v>44672</v>
      </c>
      <c r="C254" s="77">
        <v>2279905</v>
      </c>
      <c r="D254" s="77">
        <v>1509649</v>
      </c>
      <c r="E254" s="77">
        <v>111627</v>
      </c>
      <c r="F254" s="77">
        <v>2526961</v>
      </c>
      <c r="G254" s="81">
        <f t="shared" si="16"/>
        <v>0.51022191251078897</v>
      </c>
      <c r="H254" s="81">
        <f t="shared" si="17"/>
        <v>12.524048841230169</v>
      </c>
      <c r="I254" s="81">
        <f t="shared" si="18"/>
        <v>-0.95582559445911508</v>
      </c>
      <c r="J254" s="81"/>
      <c r="K254" s="81"/>
      <c r="L254" s="81"/>
      <c r="M254" s="81"/>
      <c r="N254" s="81"/>
    </row>
    <row r="255" spans="2:14" ht="15.75" thickBot="1" x14ac:dyDescent="0.3">
      <c r="B255" s="76">
        <v>44671</v>
      </c>
      <c r="C255" s="77">
        <v>2027836</v>
      </c>
      <c r="D255" s="77">
        <v>1164099</v>
      </c>
      <c r="E255" s="77">
        <v>98968</v>
      </c>
      <c r="F255" s="77">
        <v>2254209</v>
      </c>
      <c r="G255" s="81">
        <f t="shared" si="16"/>
        <v>0.74197898975946197</v>
      </c>
      <c r="H255" s="81">
        <f t="shared" si="17"/>
        <v>10.762377738258831</v>
      </c>
      <c r="I255" s="81">
        <f t="shared" si="18"/>
        <v>-0.95609635131436344</v>
      </c>
      <c r="J255" s="81"/>
      <c r="K255" s="81"/>
      <c r="L255" s="81"/>
      <c r="M255" s="81"/>
      <c r="N255" s="81"/>
    </row>
    <row r="256" spans="2:14" ht="15.75" thickBot="1" x14ac:dyDescent="0.3">
      <c r="B256" s="76">
        <v>44670</v>
      </c>
      <c r="C256" s="77">
        <v>1979882</v>
      </c>
      <c r="D256" s="77">
        <v>1082443</v>
      </c>
      <c r="E256" s="77">
        <v>92859</v>
      </c>
      <c r="F256" s="77">
        <v>2227475</v>
      </c>
      <c r="G256" s="81">
        <f t="shared" si="16"/>
        <v>0.82908661241284753</v>
      </c>
      <c r="H256" s="81">
        <f t="shared" si="17"/>
        <v>10.656845324631968</v>
      </c>
      <c r="I256" s="81">
        <f t="shared" si="18"/>
        <v>-0.95831199003355816</v>
      </c>
      <c r="J256" s="81"/>
      <c r="K256" s="81"/>
      <c r="L256" s="81"/>
      <c r="M256" s="81"/>
      <c r="N256" s="81"/>
    </row>
    <row r="257" spans="2:14" ht="15.75" thickBot="1" x14ac:dyDescent="0.3">
      <c r="B257" s="76">
        <v>44669</v>
      </c>
      <c r="C257" s="77">
        <v>2288902</v>
      </c>
      <c r="D257" s="77">
        <v>1412500</v>
      </c>
      <c r="E257" s="77">
        <v>99344</v>
      </c>
      <c r="F257" s="77">
        <v>2594171</v>
      </c>
      <c r="G257" s="81">
        <f t="shared" si="16"/>
        <v>0.62046159292035408</v>
      </c>
      <c r="H257" s="81">
        <f t="shared" si="17"/>
        <v>13.218271863424063</v>
      </c>
      <c r="I257" s="81">
        <f t="shared" si="18"/>
        <v>-0.96170491459506713</v>
      </c>
      <c r="J257" s="81"/>
      <c r="K257" s="81"/>
      <c r="L257" s="81"/>
      <c r="M257" s="81"/>
      <c r="N257" s="81"/>
    </row>
    <row r="258" spans="2:14" ht="15.75" thickBot="1" x14ac:dyDescent="0.3">
      <c r="B258" s="76">
        <v>44668</v>
      </c>
      <c r="C258" s="77">
        <v>2214519</v>
      </c>
      <c r="D258" s="77">
        <v>1572383</v>
      </c>
      <c r="E258" s="77">
        <v>105382</v>
      </c>
      <c r="F258" s="77">
        <v>2356802</v>
      </c>
      <c r="G258" s="81">
        <f t="shared" si="16"/>
        <v>0.40838396243154507</v>
      </c>
      <c r="H258" s="81">
        <f t="shared" si="17"/>
        <v>13.920792924787914</v>
      </c>
      <c r="I258" s="81">
        <f t="shared" si="18"/>
        <v>-0.9552860189358291</v>
      </c>
      <c r="J258" s="81"/>
      <c r="K258" s="81"/>
      <c r="L258" s="81"/>
      <c r="M258" s="81"/>
      <c r="N258" s="81"/>
    </row>
    <row r="259" spans="2:14" ht="15.75" thickBot="1" x14ac:dyDescent="0.3">
      <c r="B259" s="76">
        <v>44667</v>
      </c>
      <c r="C259" s="77">
        <v>1894331</v>
      </c>
      <c r="D259" s="77">
        <v>1277815</v>
      </c>
      <c r="E259" s="77">
        <v>97236</v>
      </c>
      <c r="F259" s="77">
        <v>1988205</v>
      </c>
      <c r="G259" s="81">
        <f t="shared" si="16"/>
        <v>0.48247672785184093</v>
      </c>
      <c r="H259" s="81">
        <f t="shared" si="17"/>
        <v>12.141377679048912</v>
      </c>
      <c r="I259" s="81">
        <f t="shared" si="18"/>
        <v>-0.95109357435475717</v>
      </c>
      <c r="J259" s="81"/>
      <c r="K259" s="81"/>
      <c r="L259" s="81"/>
      <c r="M259" s="81"/>
      <c r="N259" s="81"/>
    </row>
    <row r="260" spans="2:14" ht="15.75" thickBot="1" x14ac:dyDescent="0.3">
      <c r="B260" s="76">
        <v>44666</v>
      </c>
      <c r="C260" s="77">
        <v>2311092</v>
      </c>
      <c r="D260" s="77">
        <v>1468218</v>
      </c>
      <c r="E260" s="77">
        <v>106385</v>
      </c>
      <c r="F260" s="77">
        <v>2457133</v>
      </c>
      <c r="G260" s="81">
        <f t="shared" ref="G260:G323" si="19">C260/D260-1</f>
        <v>0.5740795985337328</v>
      </c>
      <c r="H260" s="81">
        <f t="shared" ref="H260:H323" si="20">D260/E260-1</f>
        <v>12.800986981247357</v>
      </c>
      <c r="I260" s="81">
        <f t="shared" ref="I260:I323" si="21">E260/F260-1</f>
        <v>-0.95670360538074251</v>
      </c>
      <c r="J260" s="81"/>
      <c r="K260" s="81"/>
      <c r="L260" s="81"/>
      <c r="M260" s="81"/>
      <c r="N260" s="81"/>
    </row>
    <row r="261" spans="2:14" ht="15.75" thickBot="1" x14ac:dyDescent="0.3">
      <c r="B261" s="76">
        <v>44665</v>
      </c>
      <c r="C261" s="77">
        <v>2337501</v>
      </c>
      <c r="D261" s="77">
        <v>1491435</v>
      </c>
      <c r="E261" s="77">
        <v>95085</v>
      </c>
      <c r="F261" s="77">
        <v>2616158</v>
      </c>
      <c r="G261" s="81">
        <f t="shared" si="19"/>
        <v>0.56728318699775726</v>
      </c>
      <c r="H261" s="81">
        <f t="shared" si="20"/>
        <v>14.685281590156176</v>
      </c>
      <c r="I261" s="81">
        <f t="shared" si="21"/>
        <v>-0.9636547181018883</v>
      </c>
      <c r="J261" s="81"/>
      <c r="K261" s="81"/>
      <c r="L261" s="81"/>
      <c r="M261" s="81"/>
      <c r="N261" s="81"/>
    </row>
    <row r="262" spans="2:14" ht="15.75" thickBot="1" x14ac:dyDescent="0.3">
      <c r="B262" s="76">
        <v>44664</v>
      </c>
      <c r="C262" s="77">
        <v>2040285</v>
      </c>
      <c r="D262" s="77">
        <v>1152703</v>
      </c>
      <c r="E262" s="77">
        <v>90784</v>
      </c>
      <c r="F262" s="77">
        <v>2317381</v>
      </c>
      <c r="G262" s="81">
        <f t="shared" si="19"/>
        <v>0.77000059859304604</v>
      </c>
      <c r="H262" s="81">
        <f t="shared" si="20"/>
        <v>11.69720435318999</v>
      </c>
      <c r="I262" s="81">
        <f t="shared" si="21"/>
        <v>-0.96082474137830598</v>
      </c>
      <c r="J262" s="81"/>
      <c r="K262" s="81"/>
      <c r="L262" s="81"/>
      <c r="M262" s="81"/>
      <c r="N262" s="81"/>
    </row>
    <row r="263" spans="2:14" ht="15.75" thickBot="1" x14ac:dyDescent="0.3">
      <c r="B263" s="76">
        <v>44663</v>
      </c>
      <c r="C263" s="77">
        <v>1883294</v>
      </c>
      <c r="D263" s="77">
        <v>1085034</v>
      </c>
      <c r="E263" s="77">
        <v>87534</v>
      </c>
      <c r="F263" s="77">
        <v>2208688</v>
      </c>
      <c r="G263" s="81">
        <f t="shared" si="19"/>
        <v>0.73570044809655744</v>
      </c>
      <c r="H263" s="81">
        <f t="shared" si="20"/>
        <v>11.395572006306121</v>
      </c>
      <c r="I263" s="81">
        <f t="shared" si="21"/>
        <v>-0.96036832726034638</v>
      </c>
      <c r="J263" s="81"/>
      <c r="K263" s="81"/>
      <c r="L263" s="81"/>
      <c r="M263" s="81"/>
      <c r="N263" s="81"/>
    </row>
    <row r="264" spans="2:14" ht="15.75" thickBot="1" x14ac:dyDescent="0.3">
      <c r="B264" s="76">
        <v>44662</v>
      </c>
      <c r="C264" s="77">
        <v>2181446</v>
      </c>
      <c r="D264" s="77">
        <v>1468972</v>
      </c>
      <c r="E264" s="77">
        <v>102184</v>
      </c>
      <c r="F264" s="77">
        <v>2484580</v>
      </c>
      <c r="G264" s="81">
        <f t="shared" si="19"/>
        <v>0.48501537129366668</v>
      </c>
      <c r="H264" s="81">
        <f t="shared" si="20"/>
        <v>13.375753542628983</v>
      </c>
      <c r="I264" s="81">
        <f t="shared" si="21"/>
        <v>-0.95887272698001269</v>
      </c>
      <c r="J264" s="81"/>
      <c r="K264" s="81"/>
      <c r="L264" s="81"/>
      <c r="M264" s="81"/>
      <c r="N264" s="81"/>
    </row>
    <row r="265" spans="2:14" ht="15.75" thickBot="1" x14ac:dyDescent="0.3">
      <c r="B265" s="76">
        <v>44661</v>
      </c>
      <c r="C265" s="77">
        <v>2293548</v>
      </c>
      <c r="D265" s="77">
        <v>1561495</v>
      </c>
      <c r="E265" s="77">
        <v>90510</v>
      </c>
      <c r="F265" s="77">
        <v>2446801</v>
      </c>
      <c r="G265" s="81">
        <f t="shared" si="19"/>
        <v>0.46881546210522607</v>
      </c>
      <c r="H265" s="81">
        <f t="shared" si="20"/>
        <v>16.25218207932825</v>
      </c>
      <c r="I265" s="81">
        <f t="shared" si="21"/>
        <v>-0.96300884297497014</v>
      </c>
      <c r="J265" s="81"/>
      <c r="K265" s="81"/>
      <c r="L265" s="81"/>
      <c r="M265" s="81"/>
      <c r="N265" s="81"/>
    </row>
    <row r="266" spans="2:14" ht="15.75" thickBot="1" x14ac:dyDescent="0.3">
      <c r="B266" s="76">
        <v>44660</v>
      </c>
      <c r="C266" s="77">
        <v>1946502</v>
      </c>
      <c r="D266" s="77">
        <v>1378237</v>
      </c>
      <c r="E266" s="77">
        <v>93645</v>
      </c>
      <c r="F266" s="77">
        <v>2059142</v>
      </c>
      <c r="G266" s="81">
        <f t="shared" si="19"/>
        <v>0.41231297665060507</v>
      </c>
      <c r="H266" s="81">
        <f t="shared" si="20"/>
        <v>13.717678466549202</v>
      </c>
      <c r="I266" s="81">
        <f t="shared" si="21"/>
        <v>-0.95452232046162921</v>
      </c>
      <c r="J266" s="81"/>
      <c r="K266" s="81"/>
      <c r="L266" s="81"/>
      <c r="M266" s="81"/>
      <c r="N266" s="81"/>
    </row>
    <row r="267" spans="2:14" ht="15.75" thickBot="1" x14ac:dyDescent="0.3">
      <c r="B267" s="76">
        <v>44659</v>
      </c>
      <c r="C267" s="77">
        <v>2318977</v>
      </c>
      <c r="D267" s="77">
        <v>1549181</v>
      </c>
      <c r="E267" s="77">
        <v>108977</v>
      </c>
      <c r="F267" s="77">
        <v>2590499</v>
      </c>
      <c r="G267" s="81">
        <f t="shared" si="19"/>
        <v>0.49690513890888144</v>
      </c>
      <c r="H267" s="81">
        <f t="shared" si="20"/>
        <v>13.215669361424888</v>
      </c>
      <c r="I267" s="81">
        <f t="shared" si="21"/>
        <v>-0.95793204320866365</v>
      </c>
      <c r="J267" s="81"/>
      <c r="K267" s="81"/>
      <c r="L267" s="81"/>
      <c r="M267" s="81"/>
      <c r="N267" s="81"/>
    </row>
    <row r="268" spans="2:14" ht="15.75" thickBot="1" x14ac:dyDescent="0.3">
      <c r="B268" s="76">
        <v>44658</v>
      </c>
      <c r="C268" s="77">
        <v>2216218</v>
      </c>
      <c r="D268" s="77">
        <v>1510829</v>
      </c>
      <c r="E268" s="77">
        <v>104090</v>
      </c>
      <c r="F268" s="77">
        <v>2487398</v>
      </c>
      <c r="G268" s="81">
        <f t="shared" si="19"/>
        <v>0.46688870811984673</v>
      </c>
      <c r="H268" s="81">
        <f t="shared" si="20"/>
        <v>13.514641175905467</v>
      </c>
      <c r="I268" s="81">
        <f t="shared" si="21"/>
        <v>-0.95815305793443595</v>
      </c>
      <c r="J268" s="81"/>
      <c r="K268" s="81"/>
      <c r="L268" s="81"/>
      <c r="M268" s="81"/>
      <c r="N268" s="81"/>
    </row>
    <row r="269" spans="2:14" ht="15.75" thickBot="1" x14ac:dyDescent="0.3">
      <c r="B269" s="76">
        <v>44657</v>
      </c>
      <c r="C269" s="77">
        <v>1978691</v>
      </c>
      <c r="D269" s="77">
        <v>1230939</v>
      </c>
      <c r="E269" s="77">
        <v>94931</v>
      </c>
      <c r="F269" s="77">
        <v>2229276</v>
      </c>
      <c r="G269" s="81">
        <f t="shared" si="19"/>
        <v>0.60746470783686268</v>
      </c>
      <c r="H269" s="81">
        <f t="shared" si="20"/>
        <v>11.966670529121151</v>
      </c>
      <c r="I269" s="81">
        <f t="shared" si="21"/>
        <v>-0.95741621943626543</v>
      </c>
      <c r="J269" s="81"/>
      <c r="K269" s="81"/>
      <c r="L269" s="81"/>
      <c r="M269" s="81"/>
      <c r="N269" s="81"/>
    </row>
    <row r="270" spans="2:14" ht="15.75" thickBot="1" x14ac:dyDescent="0.3">
      <c r="B270" s="76">
        <v>44656</v>
      </c>
      <c r="C270" s="77">
        <v>1848862</v>
      </c>
      <c r="D270" s="77">
        <v>1195306</v>
      </c>
      <c r="E270" s="77">
        <v>97130</v>
      </c>
      <c r="F270" s="77">
        <v>2091056</v>
      </c>
      <c r="G270" s="81">
        <f t="shared" si="19"/>
        <v>0.54676877720014794</v>
      </c>
      <c r="H270" s="81">
        <f t="shared" si="20"/>
        <v>11.306249356532483</v>
      </c>
      <c r="I270" s="81">
        <f t="shared" si="21"/>
        <v>-0.95354978537160173</v>
      </c>
      <c r="J270" s="81"/>
      <c r="K270" s="81"/>
      <c r="L270" s="81"/>
      <c r="M270" s="81"/>
      <c r="N270" s="81"/>
    </row>
    <row r="271" spans="2:14" ht="15.75" thickBot="1" x14ac:dyDescent="0.3">
      <c r="B271" s="76">
        <v>44655</v>
      </c>
      <c r="C271" s="77">
        <v>2139084</v>
      </c>
      <c r="D271" s="77">
        <v>1561959</v>
      </c>
      <c r="E271" s="77">
        <v>108310</v>
      </c>
      <c r="F271" s="77">
        <v>2384091</v>
      </c>
      <c r="G271" s="81">
        <f t="shared" si="19"/>
        <v>0.36948793150140302</v>
      </c>
      <c r="H271" s="81">
        <f t="shared" si="20"/>
        <v>13.421189179207829</v>
      </c>
      <c r="I271" s="81">
        <f t="shared" si="21"/>
        <v>-0.95456968714700907</v>
      </c>
      <c r="J271" s="81"/>
      <c r="K271" s="81"/>
      <c r="L271" s="81"/>
      <c r="M271" s="81"/>
      <c r="N271" s="81"/>
    </row>
    <row r="272" spans="2:14" ht="15.75" thickBot="1" x14ac:dyDescent="0.3">
      <c r="B272" s="76">
        <v>44654</v>
      </c>
      <c r="C272" s="77">
        <v>2204115</v>
      </c>
      <c r="D272" s="77">
        <v>1543474</v>
      </c>
      <c r="E272" s="77">
        <v>122029</v>
      </c>
      <c r="F272" s="77">
        <v>2462929</v>
      </c>
      <c r="G272" s="81">
        <f t="shared" si="19"/>
        <v>0.42802211115963074</v>
      </c>
      <c r="H272" s="81">
        <f t="shared" si="20"/>
        <v>11.648419637954913</v>
      </c>
      <c r="I272" s="81">
        <f t="shared" si="21"/>
        <v>-0.95045370776015059</v>
      </c>
      <c r="J272" s="81"/>
      <c r="K272" s="81"/>
      <c r="L272" s="81"/>
      <c r="M272" s="81"/>
      <c r="N272" s="81"/>
    </row>
    <row r="273" spans="2:14" ht="15.75" thickBot="1" x14ac:dyDescent="0.3">
      <c r="B273" s="76">
        <v>44653</v>
      </c>
      <c r="C273" s="77">
        <v>1913117</v>
      </c>
      <c r="D273" s="77">
        <v>1397958</v>
      </c>
      <c r="E273" s="77">
        <v>118302</v>
      </c>
      <c r="F273" s="77">
        <v>2011715</v>
      </c>
      <c r="G273" s="81">
        <f t="shared" si="19"/>
        <v>0.36850820983176891</v>
      </c>
      <c r="H273" s="81">
        <f t="shared" si="20"/>
        <v>10.816858548460718</v>
      </c>
      <c r="I273" s="81">
        <f t="shared" si="21"/>
        <v>-0.94119345931207954</v>
      </c>
      <c r="J273" s="81"/>
      <c r="K273" s="81"/>
      <c r="L273" s="81"/>
      <c r="M273" s="81"/>
      <c r="N273" s="81"/>
    </row>
    <row r="274" spans="2:14" ht="15.75" thickBot="1" x14ac:dyDescent="0.3">
      <c r="B274" s="76">
        <v>44652</v>
      </c>
      <c r="C274" s="77">
        <v>2271659</v>
      </c>
      <c r="D274" s="77">
        <v>1580785</v>
      </c>
      <c r="E274" s="77">
        <v>129763</v>
      </c>
      <c r="F274" s="77">
        <v>2476884</v>
      </c>
      <c r="G274" s="81">
        <f t="shared" si="19"/>
        <v>0.43704488592692869</v>
      </c>
      <c r="H274" s="81">
        <f t="shared" si="20"/>
        <v>11.182093508935521</v>
      </c>
      <c r="I274" s="81">
        <f t="shared" si="21"/>
        <v>-0.94761038466072689</v>
      </c>
      <c r="J274" s="81"/>
      <c r="K274" s="81"/>
      <c r="L274" s="81"/>
      <c r="M274" s="81"/>
      <c r="N274" s="81"/>
    </row>
    <row r="275" spans="2:14" ht="15.75" thickBot="1" x14ac:dyDescent="0.3">
      <c r="B275" s="76">
        <v>44651</v>
      </c>
      <c r="C275" s="77">
        <v>2196867</v>
      </c>
      <c r="D275" s="77">
        <v>1562239</v>
      </c>
      <c r="E275" s="77">
        <v>124021</v>
      </c>
      <c r="F275" s="77">
        <v>2411500</v>
      </c>
      <c r="G275" s="81">
        <f t="shared" si="19"/>
        <v>0.40622977662188697</v>
      </c>
      <c r="H275" s="81">
        <f t="shared" si="20"/>
        <v>11.59656832310657</v>
      </c>
      <c r="I275" s="81">
        <f t="shared" si="21"/>
        <v>-0.94857101389176857</v>
      </c>
      <c r="J275" s="81"/>
      <c r="K275" s="81"/>
      <c r="L275" s="81"/>
      <c r="M275" s="81"/>
      <c r="N275" s="81"/>
    </row>
    <row r="276" spans="2:14" ht="15.75" thickBot="1" x14ac:dyDescent="0.3">
      <c r="B276" s="76">
        <v>44650</v>
      </c>
      <c r="C276" s="77">
        <v>1887350</v>
      </c>
      <c r="D276" s="77">
        <v>1278113</v>
      </c>
      <c r="E276" s="77">
        <v>136023</v>
      </c>
      <c r="F276" s="77">
        <v>2151626</v>
      </c>
      <c r="G276" s="81">
        <f t="shared" si="19"/>
        <v>0.47666912080543744</v>
      </c>
      <c r="H276" s="81">
        <f t="shared" si="20"/>
        <v>8.3963006256294896</v>
      </c>
      <c r="I276" s="81">
        <f t="shared" si="21"/>
        <v>-0.93678129935221088</v>
      </c>
      <c r="J276" s="81"/>
      <c r="K276" s="81"/>
      <c r="L276" s="81"/>
      <c r="M276" s="81"/>
      <c r="N276" s="81"/>
    </row>
    <row r="277" spans="2:14" ht="15.75" thickBot="1" x14ac:dyDescent="0.3">
      <c r="B277" s="76">
        <v>44649</v>
      </c>
      <c r="C277" s="77">
        <v>1736292</v>
      </c>
      <c r="D277" s="77">
        <v>1130520</v>
      </c>
      <c r="E277" s="77">
        <v>146348</v>
      </c>
      <c r="F277" s="77">
        <v>2026256</v>
      </c>
      <c r="G277" s="81">
        <f t="shared" si="19"/>
        <v>0.53583483706612878</v>
      </c>
      <c r="H277" s="81">
        <f t="shared" si="20"/>
        <v>6.7248749555853173</v>
      </c>
      <c r="I277" s="81">
        <f t="shared" si="21"/>
        <v>-0.92777418055763927</v>
      </c>
      <c r="J277" s="81"/>
      <c r="K277" s="81"/>
      <c r="L277" s="81"/>
      <c r="M277" s="81"/>
      <c r="N277" s="81"/>
    </row>
    <row r="278" spans="2:14" ht="15.75" thickBot="1" x14ac:dyDescent="0.3">
      <c r="B278" s="76">
        <v>44648</v>
      </c>
      <c r="C278" s="77">
        <v>2131678</v>
      </c>
      <c r="D278" s="77">
        <v>1406234</v>
      </c>
      <c r="E278" s="77">
        <v>154080</v>
      </c>
      <c r="F278" s="77">
        <v>2360053</v>
      </c>
      <c r="G278" s="81">
        <f t="shared" si="19"/>
        <v>0.51587715842455806</v>
      </c>
      <c r="H278" s="81">
        <f t="shared" si="20"/>
        <v>8.1266484942886805</v>
      </c>
      <c r="I278" s="81">
        <f t="shared" si="21"/>
        <v>-0.93471333059045714</v>
      </c>
      <c r="J278" s="81"/>
      <c r="K278" s="81"/>
      <c r="L278" s="81"/>
      <c r="M278" s="81"/>
      <c r="N278" s="81"/>
    </row>
    <row r="279" spans="2:14" ht="15.75" thickBot="1" x14ac:dyDescent="0.3">
      <c r="B279" s="76">
        <v>44647</v>
      </c>
      <c r="C279" s="77">
        <v>2307110</v>
      </c>
      <c r="D279" s="77">
        <v>1574228</v>
      </c>
      <c r="E279" s="77">
        <v>180002</v>
      </c>
      <c r="F279" s="77">
        <v>2510294</v>
      </c>
      <c r="G279" s="81">
        <f t="shared" si="19"/>
        <v>0.46555009820686721</v>
      </c>
      <c r="H279" s="81">
        <f t="shared" si="20"/>
        <v>7.7456139376229149</v>
      </c>
      <c r="I279" s="81">
        <f t="shared" si="21"/>
        <v>-0.92829445475310857</v>
      </c>
      <c r="J279" s="81"/>
      <c r="K279" s="81"/>
      <c r="L279" s="81"/>
      <c r="M279" s="81"/>
      <c r="N279" s="81"/>
    </row>
    <row r="280" spans="2:14" ht="15.75" thickBot="1" x14ac:dyDescent="0.3">
      <c r="B280" s="76">
        <v>44646</v>
      </c>
      <c r="C280" s="77">
        <v>2009500</v>
      </c>
      <c r="D280" s="77">
        <v>1408198</v>
      </c>
      <c r="E280" s="77">
        <v>184027</v>
      </c>
      <c r="F280" s="77">
        <v>2172920</v>
      </c>
      <c r="G280" s="81">
        <f t="shared" si="19"/>
        <v>0.42700103252525579</v>
      </c>
      <c r="H280" s="81">
        <f t="shared" si="20"/>
        <v>6.6521271335184515</v>
      </c>
      <c r="I280" s="81">
        <f t="shared" si="21"/>
        <v>-0.91530889310236918</v>
      </c>
      <c r="J280" s="81"/>
      <c r="K280" s="81"/>
      <c r="L280" s="81"/>
      <c r="M280" s="81"/>
      <c r="N280" s="81"/>
    </row>
    <row r="281" spans="2:14" ht="15.75" thickBot="1" x14ac:dyDescent="0.3">
      <c r="B281" s="76">
        <v>44645</v>
      </c>
      <c r="C281" s="77">
        <v>2290587</v>
      </c>
      <c r="D281" s="77">
        <v>1535156</v>
      </c>
      <c r="E281" s="77">
        <v>199644</v>
      </c>
      <c r="F281" s="77">
        <v>2538384</v>
      </c>
      <c r="G281" s="81">
        <f t="shared" si="19"/>
        <v>0.49208744909312152</v>
      </c>
      <c r="H281" s="81">
        <f t="shared" si="20"/>
        <v>6.6894672517080407</v>
      </c>
      <c r="I281" s="81">
        <f t="shared" si="21"/>
        <v>-0.92134996123517954</v>
      </c>
      <c r="J281" s="81"/>
      <c r="K281" s="81"/>
      <c r="L281" s="81"/>
      <c r="M281" s="81"/>
      <c r="N281" s="81"/>
    </row>
    <row r="282" spans="2:14" ht="15.75" thickBot="1" x14ac:dyDescent="0.3">
      <c r="B282" s="76">
        <v>44644</v>
      </c>
      <c r="C282" s="77">
        <v>2234353</v>
      </c>
      <c r="D282" s="77">
        <v>1444744</v>
      </c>
      <c r="E282" s="77">
        <v>203858</v>
      </c>
      <c r="F282" s="77">
        <v>2487162</v>
      </c>
      <c r="G282" s="81">
        <f t="shared" si="19"/>
        <v>0.5465390408266102</v>
      </c>
      <c r="H282" s="81">
        <f t="shared" si="20"/>
        <v>6.0870115472534803</v>
      </c>
      <c r="I282" s="81">
        <f t="shared" si="21"/>
        <v>-0.91803589794311746</v>
      </c>
      <c r="J282" s="81"/>
      <c r="K282" s="81"/>
      <c r="L282" s="81"/>
      <c r="M282" s="81"/>
      <c r="N282" s="81"/>
    </row>
    <row r="283" spans="2:14" ht="15.75" thickBot="1" x14ac:dyDescent="0.3">
      <c r="B283" s="76">
        <v>44643</v>
      </c>
      <c r="C283" s="77">
        <v>1962056</v>
      </c>
      <c r="D283" s="77">
        <v>1164954</v>
      </c>
      <c r="E283" s="77">
        <v>239234</v>
      </c>
      <c r="F283" s="77">
        <v>2273811</v>
      </c>
      <c r="G283" s="81">
        <f t="shared" si="19"/>
        <v>0.68423474231600556</v>
      </c>
      <c r="H283" s="81">
        <f t="shared" si="20"/>
        <v>3.8695168746917243</v>
      </c>
      <c r="I283" s="81">
        <f t="shared" si="21"/>
        <v>-0.89478720966694247</v>
      </c>
      <c r="J283" s="81"/>
      <c r="K283" s="81"/>
      <c r="L283" s="81"/>
      <c r="M283" s="81"/>
      <c r="N283" s="81"/>
    </row>
    <row r="284" spans="2:14" ht="15.75" thickBot="1" x14ac:dyDescent="0.3">
      <c r="B284" s="76">
        <v>44642</v>
      </c>
      <c r="C284" s="77">
        <v>1856872</v>
      </c>
      <c r="D284" s="77">
        <v>1076453</v>
      </c>
      <c r="E284" s="77">
        <v>279018</v>
      </c>
      <c r="F284" s="77">
        <v>2151913</v>
      </c>
      <c r="G284" s="81">
        <f t="shared" si="19"/>
        <v>0.7249912443924631</v>
      </c>
      <c r="H284" s="81">
        <f t="shared" si="20"/>
        <v>2.8580055767011445</v>
      </c>
      <c r="I284" s="81">
        <f t="shared" si="21"/>
        <v>-0.87033955369013527</v>
      </c>
      <c r="J284" s="81"/>
      <c r="K284" s="81"/>
      <c r="L284" s="81"/>
      <c r="M284" s="81"/>
      <c r="N284" s="81"/>
    </row>
    <row r="285" spans="2:14" ht="15.75" thickBot="1" x14ac:dyDescent="0.3">
      <c r="B285" s="76">
        <v>44641</v>
      </c>
      <c r="C285" s="77">
        <v>2158280</v>
      </c>
      <c r="D285" s="77">
        <v>1360290</v>
      </c>
      <c r="E285" s="77">
        <v>331431</v>
      </c>
      <c r="F285" s="77">
        <v>2434370</v>
      </c>
      <c r="G285" s="81">
        <f t="shared" si="19"/>
        <v>0.5866322622381992</v>
      </c>
      <c r="H285" s="81">
        <f t="shared" si="20"/>
        <v>3.1042932012998179</v>
      </c>
      <c r="I285" s="81">
        <f t="shared" si="21"/>
        <v>-0.86385348159893527</v>
      </c>
      <c r="J285" s="81"/>
      <c r="K285" s="81"/>
      <c r="L285" s="81"/>
      <c r="M285" s="81"/>
      <c r="N285" s="81"/>
    </row>
    <row r="286" spans="2:14" ht="15.75" thickBot="1" x14ac:dyDescent="0.3">
      <c r="B286" s="76">
        <v>44640</v>
      </c>
      <c r="C286" s="77">
        <v>2366751</v>
      </c>
      <c r="D286" s="77">
        <v>1543136</v>
      </c>
      <c r="E286" s="77">
        <v>454516</v>
      </c>
      <c r="F286" s="77">
        <v>2542643</v>
      </c>
      <c r="G286" s="81">
        <f t="shared" si="19"/>
        <v>0.53372807063019723</v>
      </c>
      <c r="H286" s="81">
        <f t="shared" si="20"/>
        <v>2.3951192037244011</v>
      </c>
      <c r="I286" s="81">
        <f t="shared" si="21"/>
        <v>-0.82124269903403668</v>
      </c>
      <c r="J286" s="81"/>
      <c r="K286" s="81"/>
      <c r="L286" s="81"/>
      <c r="M286" s="81"/>
      <c r="N286" s="81"/>
    </row>
    <row r="287" spans="2:14" ht="15.75" thickBot="1" x14ac:dyDescent="0.3">
      <c r="B287" s="76">
        <v>44639</v>
      </c>
      <c r="C287" s="77">
        <v>2099056</v>
      </c>
      <c r="D287" s="77">
        <v>1373259</v>
      </c>
      <c r="E287" s="77">
        <v>548132</v>
      </c>
      <c r="F287" s="77">
        <v>2227181</v>
      </c>
      <c r="G287" s="81">
        <f t="shared" si="19"/>
        <v>0.52852156803632822</v>
      </c>
      <c r="H287" s="81">
        <f t="shared" si="20"/>
        <v>1.5053436033656125</v>
      </c>
      <c r="I287" s="81">
        <f t="shared" si="21"/>
        <v>-0.75388978264451789</v>
      </c>
      <c r="J287" s="81"/>
      <c r="K287" s="81"/>
      <c r="L287" s="81"/>
      <c r="M287" s="81"/>
      <c r="N287" s="81"/>
    </row>
    <row r="288" spans="2:14" ht="15.75" thickBot="1" x14ac:dyDescent="0.3">
      <c r="B288" s="76">
        <v>44638</v>
      </c>
      <c r="C288" s="77">
        <v>2308212</v>
      </c>
      <c r="D288" s="77">
        <v>1477841</v>
      </c>
      <c r="E288" s="77">
        <v>593167</v>
      </c>
      <c r="F288" s="77">
        <v>2559307</v>
      </c>
      <c r="G288" s="81">
        <f t="shared" si="19"/>
        <v>0.56188114959593083</v>
      </c>
      <c r="H288" s="81">
        <f t="shared" si="20"/>
        <v>1.4914417019153121</v>
      </c>
      <c r="I288" s="81">
        <f t="shared" si="21"/>
        <v>-0.76823140014074121</v>
      </c>
      <c r="J288" s="81"/>
      <c r="K288" s="81"/>
      <c r="L288" s="81"/>
      <c r="M288" s="81"/>
      <c r="N288" s="81"/>
    </row>
    <row r="289" spans="2:14" ht="15.75" thickBot="1" x14ac:dyDescent="0.3">
      <c r="B289" s="76">
        <v>44637</v>
      </c>
      <c r="C289" s="77">
        <v>2221946</v>
      </c>
      <c r="D289" s="77">
        <v>1413141</v>
      </c>
      <c r="E289" s="77">
        <v>620883</v>
      </c>
      <c r="F289" s="77">
        <v>2513231</v>
      </c>
      <c r="G289" s="81">
        <f t="shared" si="19"/>
        <v>0.57234557627299742</v>
      </c>
      <c r="H289" s="81">
        <f t="shared" si="20"/>
        <v>1.2760181870014158</v>
      </c>
      <c r="I289" s="81">
        <f t="shared" si="21"/>
        <v>-0.75295426484871464</v>
      </c>
      <c r="J289" s="81"/>
      <c r="K289" s="81"/>
      <c r="L289" s="81"/>
      <c r="M289" s="81"/>
      <c r="N289" s="81"/>
    </row>
    <row r="290" spans="2:14" ht="15.75" thickBot="1" x14ac:dyDescent="0.3">
      <c r="B290" s="76">
        <v>44636</v>
      </c>
      <c r="C290" s="77">
        <v>1993734</v>
      </c>
      <c r="D290" s="77">
        <v>1146539</v>
      </c>
      <c r="E290" s="77">
        <v>779631</v>
      </c>
      <c r="F290" s="77">
        <v>2320885</v>
      </c>
      <c r="G290" s="81">
        <f t="shared" si="19"/>
        <v>0.7389151175843125</v>
      </c>
      <c r="H290" s="81">
        <f t="shared" si="20"/>
        <v>0.47061751007848596</v>
      </c>
      <c r="I290" s="81">
        <f t="shared" si="21"/>
        <v>-0.66408029695568715</v>
      </c>
      <c r="J290" s="81"/>
      <c r="K290" s="81"/>
      <c r="L290" s="81"/>
      <c r="M290" s="81"/>
      <c r="N290" s="81"/>
    </row>
    <row r="291" spans="2:14" ht="15.75" thickBot="1" x14ac:dyDescent="0.3">
      <c r="B291" s="76">
        <v>44635</v>
      </c>
      <c r="C291" s="77">
        <v>1858773</v>
      </c>
      <c r="D291" s="77">
        <v>1092548</v>
      </c>
      <c r="E291" s="77">
        <v>953699</v>
      </c>
      <c r="F291" s="77">
        <v>2177929</v>
      </c>
      <c r="G291" s="81">
        <f t="shared" si="19"/>
        <v>0.70131930130300901</v>
      </c>
      <c r="H291" s="81">
        <f t="shared" si="20"/>
        <v>0.14558996077378716</v>
      </c>
      <c r="I291" s="81">
        <f t="shared" si="21"/>
        <v>-0.56210739652210884</v>
      </c>
      <c r="J291" s="81"/>
      <c r="K291" s="81"/>
      <c r="L291" s="81"/>
      <c r="M291" s="81"/>
      <c r="N291" s="81"/>
    </row>
    <row r="292" spans="2:14" ht="15.75" thickBot="1" x14ac:dyDescent="0.3">
      <c r="B292" s="76">
        <v>44634</v>
      </c>
      <c r="C292" s="77">
        <v>2200172</v>
      </c>
      <c r="D292" s="77">
        <v>1267345</v>
      </c>
      <c r="E292" s="77">
        <v>1257823</v>
      </c>
      <c r="F292" s="77">
        <v>2465709</v>
      </c>
      <c r="G292" s="81">
        <f t="shared" si="19"/>
        <v>0.73604819524281084</v>
      </c>
      <c r="H292" s="81">
        <f t="shared" si="20"/>
        <v>7.5702225193847728E-3</v>
      </c>
      <c r="I292" s="81">
        <f t="shared" si="21"/>
        <v>-0.48987370366900551</v>
      </c>
      <c r="J292" s="81"/>
      <c r="K292" s="81"/>
      <c r="L292" s="81"/>
      <c r="M292" s="81"/>
      <c r="N292" s="81"/>
    </row>
    <row r="293" spans="2:14" ht="15.75" thickBot="1" x14ac:dyDescent="0.3">
      <c r="B293" s="76">
        <v>44633</v>
      </c>
      <c r="C293" s="77">
        <v>2288800</v>
      </c>
      <c r="D293" s="77">
        <v>1345284</v>
      </c>
      <c r="E293" s="77">
        <v>1519192</v>
      </c>
      <c r="F293" s="77">
        <v>2545742</v>
      </c>
      <c r="G293" s="81">
        <f t="shared" si="19"/>
        <v>0.70135079284374147</v>
      </c>
      <c r="H293" s="81">
        <f t="shared" si="20"/>
        <v>-0.11447400986840373</v>
      </c>
      <c r="I293" s="81">
        <f t="shared" si="21"/>
        <v>-0.40324196246123922</v>
      </c>
      <c r="J293" s="81"/>
      <c r="K293" s="81"/>
      <c r="L293" s="81"/>
      <c r="M293" s="81"/>
      <c r="N293" s="81"/>
    </row>
    <row r="294" spans="2:14" ht="15.75" thickBot="1" x14ac:dyDescent="0.3">
      <c r="B294" s="76">
        <v>44632</v>
      </c>
      <c r="C294" s="77">
        <v>1990954</v>
      </c>
      <c r="D294" s="77">
        <v>1227484</v>
      </c>
      <c r="E294" s="77">
        <v>1485553</v>
      </c>
      <c r="F294" s="77">
        <v>2274658</v>
      </c>
      <c r="G294" s="81">
        <f t="shared" si="19"/>
        <v>0.62197959403136815</v>
      </c>
      <c r="H294" s="81">
        <f t="shared" si="20"/>
        <v>-0.17371914701124769</v>
      </c>
      <c r="I294" s="81">
        <f t="shared" si="21"/>
        <v>-0.34691149174952896</v>
      </c>
      <c r="J294" s="81"/>
      <c r="K294" s="81"/>
      <c r="L294" s="81"/>
      <c r="M294" s="81"/>
      <c r="N294" s="81"/>
    </row>
    <row r="295" spans="2:14" ht="15.75" thickBot="1" x14ac:dyDescent="0.3">
      <c r="B295" s="76">
        <v>44631</v>
      </c>
      <c r="C295" s="77">
        <v>2297374</v>
      </c>
      <c r="D295" s="77">
        <v>1409771</v>
      </c>
      <c r="E295" s="77">
        <v>1714372</v>
      </c>
      <c r="F295" s="77">
        <v>2634215</v>
      </c>
      <c r="G295" s="81">
        <f t="shared" si="19"/>
        <v>0.62960792923105946</v>
      </c>
      <c r="H295" s="81">
        <f t="shared" si="20"/>
        <v>-0.17767497369299079</v>
      </c>
      <c r="I295" s="81">
        <f t="shared" si="21"/>
        <v>-0.34919055582023484</v>
      </c>
      <c r="J295" s="81"/>
      <c r="K295" s="81"/>
      <c r="L295" s="81"/>
      <c r="M295" s="81"/>
      <c r="N295" s="81"/>
    </row>
    <row r="296" spans="2:14" ht="15.75" thickBot="1" x14ac:dyDescent="0.3">
      <c r="B296" s="76">
        <v>44630</v>
      </c>
      <c r="C296" s="77">
        <v>2184044</v>
      </c>
      <c r="D296" s="77">
        <v>1286894</v>
      </c>
      <c r="E296" s="77">
        <v>1788456</v>
      </c>
      <c r="F296" s="77">
        <v>2503924</v>
      </c>
      <c r="G296" s="81">
        <f t="shared" si="19"/>
        <v>0.69714366529022587</v>
      </c>
      <c r="H296" s="81">
        <f t="shared" si="20"/>
        <v>-0.28044413728937134</v>
      </c>
      <c r="I296" s="81">
        <f t="shared" si="21"/>
        <v>-0.28573870452937067</v>
      </c>
      <c r="J296" s="81"/>
      <c r="K296" s="81"/>
      <c r="L296" s="81"/>
      <c r="M296" s="81"/>
      <c r="N296" s="81"/>
    </row>
    <row r="297" spans="2:14" ht="15.75" thickBot="1" x14ac:dyDescent="0.3">
      <c r="B297" s="76">
        <v>44629</v>
      </c>
      <c r="C297" s="77">
        <v>1844208</v>
      </c>
      <c r="D297" s="77">
        <v>974221</v>
      </c>
      <c r="E297" s="77">
        <v>1702686</v>
      </c>
      <c r="F297" s="77">
        <v>2187298</v>
      </c>
      <c r="G297" s="81">
        <f t="shared" si="19"/>
        <v>0.89300784934835109</v>
      </c>
      <c r="H297" s="81">
        <f t="shared" si="20"/>
        <v>-0.42783284763015617</v>
      </c>
      <c r="I297" s="81">
        <f t="shared" si="21"/>
        <v>-0.22155737352660676</v>
      </c>
      <c r="J297" s="81"/>
      <c r="K297" s="81"/>
      <c r="L297" s="81"/>
      <c r="M297" s="81"/>
      <c r="N297" s="81"/>
    </row>
    <row r="298" spans="2:14" ht="15.75" thickBot="1" x14ac:dyDescent="0.3">
      <c r="B298" s="76">
        <v>44628</v>
      </c>
      <c r="C298" s="77">
        <v>1644052</v>
      </c>
      <c r="D298" s="77">
        <v>825745</v>
      </c>
      <c r="E298" s="77">
        <v>1617220</v>
      </c>
      <c r="F298" s="77">
        <v>2122898</v>
      </c>
      <c r="G298" s="81">
        <f t="shared" si="19"/>
        <v>0.99099237658114792</v>
      </c>
      <c r="H298" s="81">
        <f t="shared" si="20"/>
        <v>-0.4894046573750015</v>
      </c>
      <c r="I298" s="81">
        <f t="shared" si="21"/>
        <v>-0.23820174120471171</v>
      </c>
      <c r="J298" s="81"/>
      <c r="K298" s="81"/>
      <c r="L298" s="81"/>
      <c r="M298" s="81"/>
      <c r="N298" s="81"/>
    </row>
    <row r="299" spans="2:14" ht="15.75" thickBot="1" x14ac:dyDescent="0.3">
      <c r="B299" s="76">
        <v>44627</v>
      </c>
      <c r="C299" s="77">
        <v>2017973</v>
      </c>
      <c r="D299" s="77">
        <v>1119303</v>
      </c>
      <c r="E299" s="77">
        <v>1909363</v>
      </c>
      <c r="F299" s="77">
        <v>2378673</v>
      </c>
      <c r="G299" s="81">
        <f t="shared" si="19"/>
        <v>0.80288358022805273</v>
      </c>
      <c r="H299" s="81">
        <f t="shared" si="20"/>
        <v>-0.41378197859705046</v>
      </c>
      <c r="I299" s="81">
        <f t="shared" si="21"/>
        <v>-0.19729908230345239</v>
      </c>
      <c r="J299" s="81"/>
      <c r="K299" s="81"/>
      <c r="L299" s="81"/>
      <c r="M299" s="81"/>
      <c r="N299" s="81"/>
    </row>
    <row r="300" spans="2:14" ht="15.75" thickBot="1" x14ac:dyDescent="0.3">
      <c r="B300" s="76">
        <v>44626</v>
      </c>
      <c r="C300" s="77">
        <v>2180940</v>
      </c>
      <c r="D300" s="77">
        <v>1278557</v>
      </c>
      <c r="E300" s="77">
        <v>2119867</v>
      </c>
      <c r="F300" s="77">
        <v>2485430</v>
      </c>
      <c r="G300" s="81">
        <f t="shared" si="19"/>
        <v>0.7057823781028143</v>
      </c>
      <c r="H300" s="81">
        <f t="shared" si="20"/>
        <v>-0.39686923755122372</v>
      </c>
      <c r="I300" s="81">
        <f t="shared" si="21"/>
        <v>-0.14708239620508323</v>
      </c>
      <c r="J300" s="81"/>
      <c r="K300" s="81"/>
      <c r="L300" s="81"/>
      <c r="M300" s="81"/>
      <c r="N300" s="81"/>
    </row>
    <row r="301" spans="2:14" ht="15.75" thickBot="1" x14ac:dyDescent="0.3">
      <c r="B301" s="76">
        <v>44625</v>
      </c>
      <c r="C301" s="77">
        <v>1830246</v>
      </c>
      <c r="D301" s="77">
        <v>992406</v>
      </c>
      <c r="E301" s="77">
        <v>1844811</v>
      </c>
      <c r="F301" s="77">
        <v>2156262</v>
      </c>
      <c r="G301" s="81">
        <f t="shared" si="19"/>
        <v>0.84425124394652995</v>
      </c>
      <c r="H301" s="81">
        <f t="shared" si="20"/>
        <v>-0.46205546259210295</v>
      </c>
      <c r="I301" s="81">
        <f t="shared" si="21"/>
        <v>-0.1444402396369272</v>
      </c>
      <c r="J301" s="81"/>
      <c r="K301" s="81"/>
      <c r="L301" s="81"/>
      <c r="M301" s="81"/>
      <c r="N301" s="81"/>
    </row>
    <row r="302" spans="2:14" ht="15.75" thickBot="1" x14ac:dyDescent="0.3">
      <c r="B302" s="76">
        <v>44624</v>
      </c>
      <c r="C302" s="77">
        <v>2132807</v>
      </c>
      <c r="D302" s="77">
        <v>1168734</v>
      </c>
      <c r="E302" s="77">
        <v>2198517</v>
      </c>
      <c r="F302" s="77">
        <v>2543689</v>
      </c>
      <c r="G302" s="81">
        <f t="shared" si="19"/>
        <v>0.824886586682684</v>
      </c>
      <c r="H302" s="81">
        <f t="shared" si="20"/>
        <v>-0.46839892527553806</v>
      </c>
      <c r="I302" s="81">
        <f t="shared" si="21"/>
        <v>-0.13569740640463512</v>
      </c>
      <c r="J302" s="81"/>
      <c r="K302" s="81"/>
      <c r="L302" s="81"/>
      <c r="M302" s="81"/>
      <c r="N302" s="81"/>
    </row>
    <row r="303" spans="2:14" ht="15.75" thickBot="1" x14ac:dyDescent="0.3">
      <c r="B303" s="76">
        <v>44623</v>
      </c>
      <c r="C303" s="77">
        <v>2038115</v>
      </c>
      <c r="D303" s="77">
        <v>1107534</v>
      </c>
      <c r="E303" s="77">
        <v>2130015</v>
      </c>
      <c r="F303" s="77">
        <v>2402692</v>
      </c>
      <c r="G303" s="81">
        <f t="shared" si="19"/>
        <v>0.84022792979718908</v>
      </c>
      <c r="H303" s="81">
        <f t="shared" si="20"/>
        <v>-0.48003464764332648</v>
      </c>
      <c r="I303" s="81">
        <f t="shared" si="21"/>
        <v>-0.11348812082447524</v>
      </c>
      <c r="J303" s="81"/>
      <c r="K303" s="81"/>
      <c r="L303" s="81"/>
      <c r="M303" s="81"/>
      <c r="N303" s="81"/>
    </row>
    <row r="304" spans="2:14" ht="15.75" thickBot="1" x14ac:dyDescent="0.3">
      <c r="B304" s="76">
        <v>44622</v>
      </c>
      <c r="C304" s="77">
        <v>1738406</v>
      </c>
      <c r="D304" s="77">
        <v>826924</v>
      </c>
      <c r="E304" s="77">
        <v>1877401</v>
      </c>
      <c r="F304" s="77">
        <v>2143619</v>
      </c>
      <c r="G304" s="81">
        <f t="shared" si="19"/>
        <v>1.1022560719001988</v>
      </c>
      <c r="H304" s="81">
        <f t="shared" si="20"/>
        <v>-0.55953789307665225</v>
      </c>
      <c r="I304" s="81">
        <f t="shared" si="21"/>
        <v>-0.1241909126575198</v>
      </c>
      <c r="J304" s="81"/>
      <c r="K304" s="81"/>
      <c r="L304" s="81"/>
      <c r="M304" s="81"/>
      <c r="N304" s="81"/>
    </row>
    <row r="305" spans="2:14" ht="15.75" thickBot="1" x14ac:dyDescent="0.3">
      <c r="B305" s="76">
        <v>44621</v>
      </c>
      <c r="C305" s="77">
        <v>1635546</v>
      </c>
      <c r="D305" s="77">
        <v>744812</v>
      </c>
      <c r="E305" s="77">
        <v>1736393</v>
      </c>
      <c r="F305" s="77">
        <v>1979558</v>
      </c>
      <c r="G305" s="81">
        <f t="shared" si="19"/>
        <v>1.1959178960596768</v>
      </c>
      <c r="H305" s="81">
        <f t="shared" si="20"/>
        <v>-0.57105793446529673</v>
      </c>
      <c r="I305" s="81">
        <f t="shared" si="21"/>
        <v>-0.12283802747886141</v>
      </c>
      <c r="J305" s="81"/>
      <c r="K305" s="81"/>
      <c r="L305" s="81"/>
      <c r="M305" s="81"/>
      <c r="N305" s="81"/>
    </row>
    <row r="306" spans="2:14" ht="15.75" thickBot="1" x14ac:dyDescent="0.3">
      <c r="B306" s="76">
        <v>44620</v>
      </c>
      <c r="C306" s="77">
        <v>1979422</v>
      </c>
      <c r="D306" s="77">
        <v>1049692</v>
      </c>
      <c r="E306" s="77">
        <v>2089641</v>
      </c>
      <c r="F306" s="77">
        <v>2257920</v>
      </c>
      <c r="G306" s="81">
        <f t="shared" si="19"/>
        <v>0.88571695316340415</v>
      </c>
      <c r="H306" s="81">
        <f t="shared" si="20"/>
        <v>-0.4976687383143803</v>
      </c>
      <c r="I306" s="81">
        <f t="shared" si="21"/>
        <v>-7.4528326955782265E-2</v>
      </c>
      <c r="J306" s="81"/>
      <c r="K306" s="81"/>
      <c r="L306" s="81"/>
      <c r="M306" s="81"/>
      <c r="N306" s="81"/>
    </row>
    <row r="307" spans="2:14" ht="15.75" thickBot="1" x14ac:dyDescent="0.3">
      <c r="B307" s="76">
        <v>44619</v>
      </c>
      <c r="C307" s="77">
        <v>2145281</v>
      </c>
      <c r="D307" s="77">
        <v>1190682</v>
      </c>
      <c r="E307" s="77">
        <v>2353150</v>
      </c>
      <c r="F307" s="77">
        <v>2307393</v>
      </c>
      <c r="G307" s="81">
        <f t="shared" si="19"/>
        <v>0.80172455785843733</v>
      </c>
      <c r="H307" s="81">
        <f t="shared" si="20"/>
        <v>-0.49400505705118669</v>
      </c>
      <c r="I307" s="81">
        <f t="shared" si="21"/>
        <v>1.9830605362848974E-2</v>
      </c>
      <c r="J307" s="81"/>
      <c r="K307" s="81"/>
      <c r="L307" s="81"/>
      <c r="M307" s="81"/>
      <c r="N307" s="81"/>
    </row>
    <row r="308" spans="2:14" ht="15.75" thickBot="1" x14ac:dyDescent="0.3">
      <c r="B308" s="76">
        <v>44618</v>
      </c>
      <c r="C308" s="77">
        <v>1840996</v>
      </c>
      <c r="D308" s="77">
        <v>917282</v>
      </c>
      <c r="E308" s="77">
        <v>1949696</v>
      </c>
      <c r="F308" s="77">
        <v>2015079</v>
      </c>
      <c r="G308" s="81">
        <f t="shared" si="19"/>
        <v>1.0070120202947401</v>
      </c>
      <c r="H308" s="81">
        <f t="shared" si="20"/>
        <v>-0.52952562861081931</v>
      </c>
      <c r="I308" s="81">
        <f t="shared" si="21"/>
        <v>-3.2446866847403943E-2</v>
      </c>
      <c r="J308" s="81"/>
      <c r="K308" s="81"/>
      <c r="L308" s="81"/>
      <c r="M308" s="81"/>
      <c r="N308" s="81"/>
    </row>
    <row r="309" spans="2:14" ht="15.75" thickBot="1" x14ac:dyDescent="0.3">
      <c r="B309" s="76">
        <v>44617</v>
      </c>
      <c r="C309" s="77">
        <v>2098325</v>
      </c>
      <c r="D309" s="77">
        <v>1096348</v>
      </c>
      <c r="E309" s="77">
        <v>2441643</v>
      </c>
      <c r="F309" s="77">
        <v>1861286</v>
      </c>
      <c r="G309" s="81">
        <f t="shared" si="19"/>
        <v>0.91392240420012616</v>
      </c>
      <c r="H309" s="81">
        <f t="shared" si="20"/>
        <v>-0.55097940198464723</v>
      </c>
      <c r="I309" s="81">
        <f t="shared" si="21"/>
        <v>0.31180431164259548</v>
      </c>
      <c r="J309" s="81"/>
      <c r="K309" s="81"/>
      <c r="L309" s="81"/>
      <c r="M309" s="81"/>
      <c r="N309" s="81"/>
    </row>
    <row r="310" spans="2:14" ht="15.75" thickBot="1" x14ac:dyDescent="0.3">
      <c r="B310" s="76">
        <v>44616</v>
      </c>
      <c r="C310" s="77">
        <v>1980803</v>
      </c>
      <c r="D310" s="77">
        <v>1051149</v>
      </c>
      <c r="E310" s="77">
        <v>2364727</v>
      </c>
      <c r="F310" s="77">
        <v>2160322</v>
      </c>
      <c r="G310" s="81">
        <f t="shared" si="19"/>
        <v>0.88441695706317569</v>
      </c>
      <c r="H310" s="81">
        <f t="shared" si="20"/>
        <v>-0.55548822337631365</v>
      </c>
      <c r="I310" s="81">
        <f t="shared" si="21"/>
        <v>9.4617839377648227E-2</v>
      </c>
      <c r="J310" s="81"/>
      <c r="K310" s="81"/>
      <c r="L310" s="81"/>
      <c r="M310" s="81"/>
      <c r="N310" s="81"/>
    </row>
    <row r="311" spans="2:14" ht="15.75" thickBot="1" x14ac:dyDescent="0.3">
      <c r="B311" s="76">
        <v>44615</v>
      </c>
      <c r="C311" s="77">
        <v>1752841</v>
      </c>
      <c r="D311" s="77">
        <v>802230</v>
      </c>
      <c r="E311" s="77">
        <v>2075554</v>
      </c>
      <c r="F311" s="77">
        <v>2197938</v>
      </c>
      <c r="G311" s="81">
        <f t="shared" si="19"/>
        <v>1.1849606721264476</v>
      </c>
      <c r="H311" s="81">
        <f t="shared" si="20"/>
        <v>-0.61348632702401384</v>
      </c>
      <c r="I311" s="81">
        <f t="shared" si="21"/>
        <v>-5.5681279453742571E-2</v>
      </c>
      <c r="J311" s="81"/>
      <c r="K311" s="81"/>
      <c r="L311" s="81"/>
      <c r="M311" s="81"/>
      <c r="N311" s="81"/>
    </row>
    <row r="312" spans="2:14" ht="15.75" thickBot="1" x14ac:dyDescent="0.3">
      <c r="B312" s="76">
        <v>44614</v>
      </c>
      <c r="C312" s="77">
        <v>1780987</v>
      </c>
      <c r="D312" s="77">
        <v>714725</v>
      </c>
      <c r="E312" s="77">
        <v>1919803</v>
      </c>
      <c r="F312" s="77">
        <v>2274217</v>
      </c>
      <c r="G312" s="81">
        <f t="shared" si="19"/>
        <v>1.4918493126727062</v>
      </c>
      <c r="H312" s="81">
        <f t="shared" si="20"/>
        <v>-0.62770919724575913</v>
      </c>
      <c r="I312" s="81">
        <f t="shared" si="21"/>
        <v>-0.1558400099902516</v>
      </c>
      <c r="J312" s="81"/>
      <c r="K312" s="81"/>
      <c r="L312" s="81"/>
      <c r="M312" s="81"/>
      <c r="N312" s="81"/>
    </row>
    <row r="313" spans="2:14" ht="15.75" thickBot="1" x14ac:dyDescent="0.3">
      <c r="B313" s="76">
        <v>44613</v>
      </c>
      <c r="C313" s="77">
        <v>2215453</v>
      </c>
      <c r="D313" s="77">
        <v>963280</v>
      </c>
      <c r="E313" s="77">
        <v>2267382</v>
      </c>
      <c r="F313" s="77">
        <v>2331841</v>
      </c>
      <c r="G313" s="81">
        <f t="shared" si="19"/>
        <v>1.299905531102068</v>
      </c>
      <c r="H313" s="81">
        <f t="shared" si="20"/>
        <v>-0.5751576046735839</v>
      </c>
      <c r="I313" s="81">
        <f t="shared" si="21"/>
        <v>-2.764296536513422E-2</v>
      </c>
      <c r="J313" s="81"/>
      <c r="K313" s="81"/>
      <c r="L313" s="81"/>
      <c r="M313" s="81"/>
      <c r="N313" s="81"/>
    </row>
    <row r="314" spans="2:14" ht="15.75" thickBot="1" x14ac:dyDescent="0.3">
      <c r="B314" s="76">
        <v>44612</v>
      </c>
      <c r="C314" s="77">
        <v>2067788</v>
      </c>
      <c r="D314" s="77">
        <v>1115479</v>
      </c>
      <c r="E314" s="77">
        <v>2380359</v>
      </c>
      <c r="F314" s="77">
        <v>2415570</v>
      </c>
      <c r="G314" s="81">
        <f t="shared" si="19"/>
        <v>0.85372203331483609</v>
      </c>
      <c r="H314" s="81">
        <f t="shared" si="20"/>
        <v>-0.53138203102977322</v>
      </c>
      <c r="I314" s="81">
        <f t="shared" si="21"/>
        <v>-1.45766837640805E-2</v>
      </c>
      <c r="J314" s="81"/>
      <c r="K314" s="81"/>
      <c r="L314" s="81"/>
      <c r="M314" s="81"/>
      <c r="N314" s="81"/>
    </row>
    <row r="315" spans="2:14" ht="15.75" thickBot="1" x14ac:dyDescent="0.3">
      <c r="B315" s="76">
        <v>44611</v>
      </c>
      <c r="C315" s="77">
        <v>1826392</v>
      </c>
      <c r="D315" s="77">
        <v>942238</v>
      </c>
      <c r="E315" s="77">
        <v>1951535</v>
      </c>
      <c r="F315" s="77">
        <v>2351856</v>
      </c>
      <c r="G315" s="81">
        <f t="shared" si="19"/>
        <v>0.93835527754134307</v>
      </c>
      <c r="H315" s="81">
        <f t="shared" si="20"/>
        <v>-0.51718109078238417</v>
      </c>
      <c r="I315" s="81">
        <f t="shared" si="21"/>
        <v>-0.17021492812485117</v>
      </c>
      <c r="J315" s="81"/>
      <c r="K315" s="81"/>
      <c r="L315" s="81"/>
      <c r="M315" s="81"/>
      <c r="N315" s="81"/>
    </row>
    <row r="316" spans="2:14" ht="15.75" thickBot="1" x14ac:dyDescent="0.3">
      <c r="B316" s="76">
        <v>44610</v>
      </c>
      <c r="C316" s="77">
        <v>2241123</v>
      </c>
      <c r="D316" s="77">
        <v>1059452</v>
      </c>
      <c r="E316" s="77">
        <v>2429489</v>
      </c>
      <c r="F316" s="77">
        <v>2022861</v>
      </c>
      <c r="G316" s="81">
        <f t="shared" si="19"/>
        <v>1.1153605826408368</v>
      </c>
      <c r="H316" s="81">
        <f t="shared" si="20"/>
        <v>-0.56391982017617703</v>
      </c>
      <c r="I316" s="81">
        <f t="shared" si="21"/>
        <v>0.20101628337290589</v>
      </c>
      <c r="J316" s="81"/>
      <c r="K316" s="81"/>
      <c r="L316" s="81"/>
      <c r="M316" s="81"/>
      <c r="N316" s="81"/>
    </row>
    <row r="317" spans="2:14" ht="15.75" thickBot="1" x14ac:dyDescent="0.3">
      <c r="B317" s="76">
        <v>44609</v>
      </c>
      <c r="C317" s="77">
        <v>1977756</v>
      </c>
      <c r="D317" s="77">
        <v>914823</v>
      </c>
      <c r="E317" s="77">
        <v>2358511</v>
      </c>
      <c r="F317" s="77">
        <v>2177690</v>
      </c>
      <c r="G317" s="81">
        <f t="shared" si="19"/>
        <v>1.1619001708527223</v>
      </c>
      <c r="H317" s="81">
        <f t="shared" si="20"/>
        <v>-0.61211840860610778</v>
      </c>
      <c r="I317" s="81">
        <f t="shared" si="21"/>
        <v>8.3033397774706197E-2</v>
      </c>
      <c r="J317" s="81"/>
      <c r="K317" s="81"/>
      <c r="L317" s="81"/>
      <c r="M317" s="81"/>
      <c r="N317" s="81"/>
    </row>
    <row r="318" spans="2:14" ht="15.75" thickBot="1" x14ac:dyDescent="0.3">
      <c r="B318" s="76">
        <v>44608</v>
      </c>
      <c r="C318" s="77">
        <v>1656217</v>
      </c>
      <c r="D318" s="77">
        <v>773422</v>
      </c>
      <c r="E318" s="77">
        <v>2129862</v>
      </c>
      <c r="F318" s="77">
        <v>2476445</v>
      </c>
      <c r="G318" s="81">
        <f t="shared" si="19"/>
        <v>1.1414143895570592</v>
      </c>
      <c r="H318" s="81">
        <f t="shared" si="20"/>
        <v>-0.63686755292126906</v>
      </c>
      <c r="I318" s="81">
        <f t="shared" si="21"/>
        <v>-0.13995182610556667</v>
      </c>
      <c r="J318" s="81"/>
      <c r="K318" s="81"/>
      <c r="L318" s="81"/>
      <c r="M318" s="81"/>
      <c r="N318" s="81"/>
    </row>
    <row r="319" spans="2:14" ht="15.75" thickBot="1" x14ac:dyDescent="0.3">
      <c r="B319" s="76">
        <v>44607</v>
      </c>
      <c r="C319" s="77">
        <v>1479653</v>
      </c>
      <c r="D319" s="77">
        <v>738825</v>
      </c>
      <c r="E319" s="77">
        <v>2190300</v>
      </c>
      <c r="F319" s="77">
        <v>2147045</v>
      </c>
      <c r="G319" s="81">
        <f t="shared" si="19"/>
        <v>1.0027110614827599</v>
      </c>
      <c r="H319" s="81">
        <f t="shared" si="20"/>
        <v>-0.66268319408300225</v>
      </c>
      <c r="I319" s="81">
        <f t="shared" si="21"/>
        <v>2.0146294092578509E-2</v>
      </c>
      <c r="J319" s="81"/>
      <c r="K319" s="81"/>
      <c r="L319" s="81"/>
      <c r="M319" s="81"/>
      <c r="N319" s="81"/>
    </row>
    <row r="320" spans="2:14" ht="15.75" thickBot="1" x14ac:dyDescent="0.3">
      <c r="B320" s="76">
        <v>44606</v>
      </c>
      <c r="C320" s="77">
        <v>1731473</v>
      </c>
      <c r="D320" s="77">
        <v>967693</v>
      </c>
      <c r="E320" s="77">
        <v>2494922</v>
      </c>
      <c r="F320" s="77">
        <v>1922613</v>
      </c>
      <c r="G320" s="81">
        <f t="shared" si="19"/>
        <v>0.7892792445537995</v>
      </c>
      <c r="H320" s="81">
        <f t="shared" si="20"/>
        <v>-0.612134968548115</v>
      </c>
      <c r="I320" s="81">
        <f t="shared" si="21"/>
        <v>0.29767249051161104</v>
      </c>
      <c r="J320" s="81"/>
      <c r="K320" s="81"/>
      <c r="L320" s="81"/>
      <c r="M320" s="81"/>
      <c r="N320" s="81"/>
    </row>
    <row r="321" spans="2:14" ht="15.75" thickBot="1" x14ac:dyDescent="0.3">
      <c r="B321" s="76">
        <v>44605</v>
      </c>
      <c r="C321" s="77">
        <v>1815824</v>
      </c>
      <c r="D321" s="77">
        <v>946458</v>
      </c>
      <c r="E321" s="77">
        <v>2198657</v>
      </c>
      <c r="F321" s="77">
        <v>2227730</v>
      </c>
      <c r="G321" s="81">
        <f t="shared" si="19"/>
        <v>0.91854683461918007</v>
      </c>
      <c r="H321" s="81">
        <f t="shared" si="20"/>
        <v>-0.5695290352246849</v>
      </c>
      <c r="I321" s="81">
        <f t="shared" si="21"/>
        <v>-1.305050432503041E-2</v>
      </c>
      <c r="J321" s="81"/>
      <c r="K321" s="81"/>
      <c r="L321" s="81"/>
      <c r="M321" s="81"/>
      <c r="N321" s="81"/>
    </row>
    <row r="322" spans="2:14" ht="15.75" thickBot="1" x14ac:dyDescent="0.3">
      <c r="B322" s="76">
        <v>44604</v>
      </c>
      <c r="C322" s="77">
        <v>1534080</v>
      </c>
      <c r="D322" s="77">
        <v>900696</v>
      </c>
      <c r="E322" s="77">
        <v>1972248</v>
      </c>
      <c r="F322" s="77">
        <v>1950385</v>
      </c>
      <c r="G322" s="81">
        <f t="shared" si="19"/>
        <v>0.70321617948786264</v>
      </c>
      <c r="H322" s="81">
        <f t="shared" si="20"/>
        <v>-0.54331503948793458</v>
      </c>
      <c r="I322" s="81">
        <f t="shared" si="21"/>
        <v>1.1209581697972482E-2</v>
      </c>
      <c r="J322" s="81"/>
      <c r="K322" s="81"/>
      <c r="L322" s="81"/>
      <c r="M322" s="81"/>
      <c r="N322" s="81"/>
    </row>
    <row r="323" spans="2:14" ht="15.75" thickBot="1" x14ac:dyDescent="0.3">
      <c r="B323" s="76">
        <v>44603</v>
      </c>
      <c r="C323" s="77">
        <v>1914374</v>
      </c>
      <c r="D323" s="77">
        <v>1151420</v>
      </c>
      <c r="E323" s="77">
        <v>2507588</v>
      </c>
      <c r="F323" s="77">
        <v>1620239</v>
      </c>
      <c r="G323" s="81">
        <f t="shared" si="19"/>
        <v>0.66262006913202831</v>
      </c>
      <c r="H323" s="81">
        <f t="shared" si="20"/>
        <v>-0.54082568587822244</v>
      </c>
      <c r="I323" s="81">
        <f t="shared" si="21"/>
        <v>0.54766549873197712</v>
      </c>
      <c r="J323" s="81"/>
      <c r="K323" s="81"/>
      <c r="L323" s="81"/>
      <c r="M323" s="81"/>
      <c r="N323" s="81"/>
    </row>
    <row r="324" spans="2:14" ht="15.75" thickBot="1" x14ac:dyDescent="0.3">
      <c r="B324" s="76">
        <v>44602</v>
      </c>
      <c r="C324" s="77">
        <v>1782705</v>
      </c>
      <c r="D324" s="77">
        <v>1034514</v>
      </c>
      <c r="E324" s="77">
        <v>2415185</v>
      </c>
      <c r="F324" s="77">
        <v>2055827</v>
      </c>
      <c r="G324" s="81">
        <f t="shared" ref="G324:G366" si="22">C324/D324-1</f>
        <v>0.72322945847035425</v>
      </c>
      <c r="H324" s="81">
        <f t="shared" ref="H324:H366" si="23">D324/E324-1</f>
        <v>-0.571662626258444</v>
      </c>
      <c r="I324" s="81">
        <f t="shared" ref="I324:I366" si="24">E324/F324-1</f>
        <v>0.17479972779810748</v>
      </c>
      <c r="J324" s="81"/>
      <c r="K324" s="81"/>
      <c r="L324" s="81"/>
      <c r="M324" s="81"/>
      <c r="N324" s="81"/>
    </row>
    <row r="325" spans="2:14" ht="15.75" thickBot="1" x14ac:dyDescent="0.3">
      <c r="B325" s="76">
        <v>44601</v>
      </c>
      <c r="C325" s="77">
        <v>1386325</v>
      </c>
      <c r="D325" s="77">
        <v>735009</v>
      </c>
      <c r="E325" s="77">
        <v>2038375</v>
      </c>
      <c r="F325" s="77">
        <v>2105696</v>
      </c>
      <c r="G325" s="81">
        <f t="shared" si="22"/>
        <v>0.8861333670744167</v>
      </c>
      <c r="H325" s="81">
        <f t="shared" si="23"/>
        <v>-0.63941423928374319</v>
      </c>
      <c r="I325" s="81">
        <f t="shared" si="24"/>
        <v>-3.1970901782593542E-2</v>
      </c>
      <c r="J325" s="81"/>
      <c r="K325" s="81"/>
      <c r="L325" s="81"/>
      <c r="M325" s="81"/>
      <c r="N325" s="81"/>
    </row>
    <row r="326" spans="2:14" ht="15.75" thickBot="1" x14ac:dyDescent="0.3">
      <c r="B326" s="76">
        <v>44600</v>
      </c>
      <c r="C326" s="77">
        <v>1232591</v>
      </c>
      <c r="D326" s="77">
        <v>617619</v>
      </c>
      <c r="E326" s="77">
        <v>1814047</v>
      </c>
      <c r="F326" s="77">
        <v>1648328</v>
      </c>
      <c r="G326" s="81">
        <f t="shared" si="22"/>
        <v>0.99571418625398511</v>
      </c>
      <c r="H326" s="81">
        <f t="shared" si="23"/>
        <v>-0.65953528216192847</v>
      </c>
      <c r="I326" s="81">
        <f t="shared" si="24"/>
        <v>0.10053763571328034</v>
      </c>
      <c r="J326" s="81"/>
      <c r="K326" s="81"/>
      <c r="L326" s="81"/>
      <c r="M326" s="81"/>
      <c r="N326" s="81"/>
    </row>
    <row r="327" spans="2:14" ht="15.75" thickBot="1" x14ac:dyDescent="0.3">
      <c r="B327" s="76">
        <v>44599</v>
      </c>
      <c r="C327" s="77">
        <v>1591438</v>
      </c>
      <c r="D327" s="77">
        <v>864783</v>
      </c>
      <c r="E327" s="77">
        <v>2164951</v>
      </c>
      <c r="F327" s="77">
        <v>2134744</v>
      </c>
      <c r="G327" s="81">
        <f t="shared" si="22"/>
        <v>0.84027438097187379</v>
      </c>
      <c r="H327" s="81">
        <f t="shared" si="23"/>
        <v>-0.60055308411137243</v>
      </c>
      <c r="I327" s="81">
        <f t="shared" si="24"/>
        <v>1.4150174447146835E-2</v>
      </c>
      <c r="J327" s="81"/>
      <c r="K327" s="81"/>
      <c r="L327" s="81"/>
      <c r="M327" s="81"/>
      <c r="N327" s="81"/>
    </row>
    <row r="328" spans="2:14" ht="15.75" thickBot="1" x14ac:dyDescent="0.3">
      <c r="B328" s="76">
        <v>44598</v>
      </c>
      <c r="C328" s="77">
        <v>1785846</v>
      </c>
      <c r="D328" s="77">
        <v>854636</v>
      </c>
      <c r="E328" s="77">
        <v>2224826</v>
      </c>
      <c r="F328" s="77">
        <v>2064640</v>
      </c>
      <c r="G328" s="81">
        <f t="shared" si="22"/>
        <v>1.0895983787249777</v>
      </c>
      <c r="H328" s="81">
        <f t="shared" si="23"/>
        <v>-0.61586389227741856</v>
      </c>
      <c r="I328" s="81">
        <f t="shared" si="24"/>
        <v>7.7585438623682501E-2</v>
      </c>
      <c r="J328" s="81"/>
      <c r="K328" s="81"/>
      <c r="L328" s="81"/>
      <c r="M328" s="81"/>
      <c r="N328" s="81"/>
    </row>
    <row r="329" spans="2:14" ht="15.75" thickBot="1" x14ac:dyDescent="0.3">
      <c r="B329" s="76">
        <v>44597</v>
      </c>
      <c r="C329" s="77">
        <v>1399444</v>
      </c>
      <c r="D329" s="77">
        <v>705951</v>
      </c>
      <c r="E329" s="77">
        <v>1770241</v>
      </c>
      <c r="F329" s="77">
        <v>1756152</v>
      </c>
      <c r="G329" s="81">
        <f t="shared" si="22"/>
        <v>0.98235288284880973</v>
      </c>
      <c r="H329" s="81">
        <f t="shared" si="23"/>
        <v>-0.60121192538191126</v>
      </c>
      <c r="I329" s="81">
        <f t="shared" si="24"/>
        <v>8.0226540755015119E-3</v>
      </c>
      <c r="J329" s="81"/>
      <c r="K329" s="81"/>
      <c r="L329" s="81"/>
      <c r="M329" s="81"/>
      <c r="N329" s="81"/>
    </row>
    <row r="330" spans="2:14" ht="15.75" thickBot="1" x14ac:dyDescent="0.3">
      <c r="B330" s="76">
        <v>44596</v>
      </c>
      <c r="C330" s="77">
        <v>1577790</v>
      </c>
      <c r="D330" s="77">
        <v>868624</v>
      </c>
      <c r="E330" s="77">
        <v>2271551</v>
      </c>
      <c r="F330" s="77">
        <v>1655868</v>
      </c>
      <c r="G330" s="81">
        <f t="shared" si="22"/>
        <v>0.81642459798485878</v>
      </c>
      <c r="H330" s="81">
        <f t="shared" si="23"/>
        <v>-0.61760752895268478</v>
      </c>
      <c r="I330" s="81">
        <f t="shared" si="24"/>
        <v>0.37181888894525406</v>
      </c>
      <c r="J330" s="81"/>
      <c r="K330" s="81"/>
      <c r="L330" s="81"/>
      <c r="M330" s="81"/>
      <c r="N330" s="81"/>
    </row>
    <row r="331" spans="2:14" ht="15.75" thickBot="1" x14ac:dyDescent="0.3">
      <c r="B331" s="76">
        <v>44595</v>
      </c>
      <c r="C331" s="77">
        <v>1339533</v>
      </c>
      <c r="D331" s="77">
        <v>778065</v>
      </c>
      <c r="E331" s="77">
        <v>2167857</v>
      </c>
      <c r="F331" s="77">
        <v>2001482</v>
      </c>
      <c r="G331" s="81">
        <f t="shared" si="22"/>
        <v>0.72162094426558188</v>
      </c>
      <c r="H331" s="81">
        <f t="shared" si="23"/>
        <v>-0.64109025641451445</v>
      </c>
      <c r="I331" s="81">
        <f t="shared" si="24"/>
        <v>8.3125903705354443E-2</v>
      </c>
      <c r="J331" s="81"/>
      <c r="K331" s="81"/>
      <c r="L331" s="81"/>
      <c r="M331" s="81"/>
      <c r="N331" s="81"/>
    </row>
    <row r="332" spans="2:14" ht="15.75" thickBot="1" x14ac:dyDescent="0.3">
      <c r="B332" s="76">
        <v>44594</v>
      </c>
      <c r="C332" s="77">
        <v>1192973</v>
      </c>
      <c r="D332" s="77">
        <v>618615</v>
      </c>
      <c r="E332" s="77">
        <v>1843877</v>
      </c>
      <c r="F332" s="77">
        <v>1792677</v>
      </c>
      <c r="G332" s="81">
        <f t="shared" si="22"/>
        <v>0.92845792617379153</v>
      </c>
      <c r="H332" s="81">
        <f t="shared" si="23"/>
        <v>-0.66450310948072999</v>
      </c>
      <c r="I332" s="81">
        <f t="shared" si="24"/>
        <v>2.8560638642655567E-2</v>
      </c>
      <c r="J332" s="81"/>
      <c r="K332" s="81"/>
      <c r="L332" s="81"/>
      <c r="M332" s="81"/>
      <c r="N332" s="81"/>
    </row>
    <row r="333" spans="2:14" ht="15.75" thickBot="1" x14ac:dyDescent="0.3">
      <c r="B333" s="76">
        <v>44593</v>
      </c>
      <c r="C333" s="77">
        <v>1200580</v>
      </c>
      <c r="D333" s="77">
        <v>493338</v>
      </c>
      <c r="E333" s="77">
        <v>1677798</v>
      </c>
      <c r="F333" s="77">
        <v>1591591</v>
      </c>
      <c r="G333" s="81">
        <f t="shared" si="22"/>
        <v>1.4335850877086296</v>
      </c>
      <c r="H333" s="81">
        <f t="shared" si="23"/>
        <v>-0.70596102748960243</v>
      </c>
      <c r="I333" s="81">
        <f t="shared" si="24"/>
        <v>5.4164040887388687E-2</v>
      </c>
      <c r="J333" s="81"/>
      <c r="K333" s="81"/>
      <c r="L333" s="81"/>
      <c r="M333" s="81"/>
      <c r="N333" s="81"/>
    </row>
    <row r="334" spans="2:14" ht="15.75" thickBot="1" x14ac:dyDescent="0.3">
      <c r="B334" s="76">
        <v>44592</v>
      </c>
      <c r="C334" s="77">
        <v>1537573</v>
      </c>
      <c r="D334" s="77">
        <v>628989</v>
      </c>
      <c r="E334" s="77">
        <v>2054725</v>
      </c>
      <c r="F334" s="77">
        <v>2078169</v>
      </c>
      <c r="G334" s="81">
        <f t="shared" si="22"/>
        <v>1.4445149279240179</v>
      </c>
      <c r="H334" s="81">
        <f t="shared" si="23"/>
        <v>-0.69388166299626475</v>
      </c>
      <c r="I334" s="81">
        <f t="shared" si="24"/>
        <v>-1.1281084454632939E-2</v>
      </c>
      <c r="J334" s="81"/>
      <c r="K334" s="81"/>
      <c r="L334" s="81"/>
      <c r="M334" s="81"/>
      <c r="N334" s="81"/>
    </row>
    <row r="335" spans="2:14" ht="15.75" thickBot="1" x14ac:dyDescent="0.3">
      <c r="B335" s="76">
        <v>44591</v>
      </c>
      <c r="C335" s="77">
        <v>1714280</v>
      </c>
      <c r="D335" s="77">
        <v>859039</v>
      </c>
      <c r="E335" s="77">
        <v>1948138</v>
      </c>
      <c r="F335" s="77">
        <v>1938817</v>
      </c>
      <c r="G335" s="81">
        <f t="shared" si="22"/>
        <v>0.99557878047446047</v>
      </c>
      <c r="H335" s="81">
        <f t="shared" si="23"/>
        <v>-0.55904612506916862</v>
      </c>
      <c r="I335" s="81">
        <f t="shared" si="24"/>
        <v>4.8075708021952934E-3</v>
      </c>
      <c r="J335" s="81"/>
      <c r="K335" s="81"/>
      <c r="L335" s="81"/>
      <c r="M335" s="81"/>
      <c r="N335" s="81"/>
    </row>
    <row r="336" spans="2:14" ht="15.75" thickBot="1" x14ac:dyDescent="0.3">
      <c r="B336" s="76">
        <v>44590</v>
      </c>
      <c r="C336" s="77">
        <v>1070691</v>
      </c>
      <c r="D336" s="77">
        <v>617489</v>
      </c>
      <c r="E336" s="77">
        <v>1658886</v>
      </c>
      <c r="F336" s="77">
        <v>1593697</v>
      </c>
      <c r="G336" s="81">
        <f t="shared" si="22"/>
        <v>0.73394343866854306</v>
      </c>
      <c r="H336" s="81">
        <f t="shared" si="23"/>
        <v>-0.6277688762217537</v>
      </c>
      <c r="I336" s="81">
        <f t="shared" si="24"/>
        <v>4.0904262228014465E-2</v>
      </c>
      <c r="J336" s="81"/>
      <c r="K336" s="81"/>
      <c r="L336" s="81"/>
      <c r="M336" s="81"/>
      <c r="N336" s="81"/>
    </row>
    <row r="337" spans="2:14" ht="15.75" thickBot="1" x14ac:dyDescent="0.3">
      <c r="B337" s="76">
        <v>44589</v>
      </c>
      <c r="C337" s="77">
        <v>1632406</v>
      </c>
      <c r="D337" s="77">
        <v>774688</v>
      </c>
      <c r="E337" s="77">
        <v>2159047</v>
      </c>
      <c r="F337" s="77">
        <v>1534386</v>
      </c>
      <c r="G337" s="81">
        <f t="shared" si="22"/>
        <v>1.1071786319137509</v>
      </c>
      <c r="H337" s="81">
        <f t="shared" si="23"/>
        <v>-0.64118983977653099</v>
      </c>
      <c r="I337" s="81">
        <f t="shared" si="24"/>
        <v>0.4071081201210125</v>
      </c>
      <c r="J337" s="81"/>
      <c r="K337" s="81"/>
      <c r="L337" s="81"/>
      <c r="M337" s="81"/>
      <c r="N337" s="81"/>
    </row>
    <row r="338" spans="2:14" ht="15.75" thickBot="1" x14ac:dyDescent="0.3">
      <c r="B338" s="76">
        <v>44588</v>
      </c>
      <c r="C338" s="77">
        <v>1555773</v>
      </c>
      <c r="D338" s="77">
        <v>750558</v>
      </c>
      <c r="E338" s="77">
        <v>2085468</v>
      </c>
      <c r="F338" s="77">
        <v>1862420</v>
      </c>
      <c r="G338" s="81">
        <f t="shared" si="22"/>
        <v>1.0728218205654994</v>
      </c>
      <c r="H338" s="81">
        <f t="shared" si="23"/>
        <v>-0.64010092698617282</v>
      </c>
      <c r="I338" s="81">
        <f t="shared" si="24"/>
        <v>0.11976245959557996</v>
      </c>
      <c r="J338" s="81"/>
      <c r="K338" s="81"/>
      <c r="L338" s="81"/>
      <c r="M338" s="81"/>
      <c r="N338" s="81"/>
    </row>
    <row r="339" spans="2:14" ht="15.75" thickBot="1" x14ac:dyDescent="0.3">
      <c r="B339" s="76">
        <v>44587</v>
      </c>
      <c r="C339" s="77">
        <v>1198339</v>
      </c>
      <c r="D339" s="77">
        <v>536935</v>
      </c>
      <c r="E339" s="77">
        <v>1777171</v>
      </c>
      <c r="F339" s="77">
        <v>2010374</v>
      </c>
      <c r="G339" s="81">
        <f t="shared" si="22"/>
        <v>1.2318139067112406</v>
      </c>
      <c r="H339" s="81">
        <f t="shared" si="23"/>
        <v>-0.69787094207591727</v>
      </c>
      <c r="I339" s="81">
        <f t="shared" si="24"/>
        <v>-0.1159998089907649</v>
      </c>
      <c r="J339" s="81"/>
      <c r="K339" s="81"/>
      <c r="L339" s="81"/>
      <c r="M339" s="81"/>
      <c r="N339" s="81"/>
    </row>
    <row r="340" spans="2:14" ht="15.75" thickBot="1" x14ac:dyDescent="0.3">
      <c r="B340" s="76">
        <v>44586</v>
      </c>
      <c r="C340" s="77">
        <v>1059741</v>
      </c>
      <c r="D340" s="77">
        <v>468933</v>
      </c>
      <c r="E340" s="77">
        <v>1643435</v>
      </c>
      <c r="F340" s="77">
        <v>1571077</v>
      </c>
      <c r="G340" s="81">
        <f t="shared" si="22"/>
        <v>1.2598985356116974</v>
      </c>
      <c r="H340" s="81">
        <f t="shared" si="23"/>
        <v>-0.71466288596750105</v>
      </c>
      <c r="I340" s="81">
        <f t="shared" si="24"/>
        <v>4.6056304051297348E-2</v>
      </c>
      <c r="J340" s="81"/>
      <c r="K340" s="81"/>
      <c r="L340" s="81"/>
      <c r="M340" s="81"/>
      <c r="N340" s="81"/>
    </row>
    <row r="341" spans="2:14" ht="15.75" thickBot="1" x14ac:dyDescent="0.3">
      <c r="B341" s="76">
        <v>44585</v>
      </c>
      <c r="C341" s="77">
        <v>1397281</v>
      </c>
      <c r="D341" s="77">
        <v>701709</v>
      </c>
      <c r="E341" s="77">
        <v>2004609</v>
      </c>
      <c r="F341" s="77">
        <v>2052814</v>
      </c>
      <c r="G341" s="81">
        <f t="shared" si="22"/>
        <v>0.99125420936599085</v>
      </c>
      <c r="H341" s="81">
        <f t="shared" si="23"/>
        <v>-0.64995218518923137</v>
      </c>
      <c r="I341" s="81">
        <f t="shared" si="24"/>
        <v>-2.3482400256428448E-2</v>
      </c>
      <c r="J341" s="81"/>
      <c r="K341" s="81"/>
      <c r="L341" s="81"/>
      <c r="M341" s="81"/>
      <c r="N341" s="81"/>
    </row>
    <row r="342" spans="2:14" ht="15.75" thickBot="1" x14ac:dyDescent="0.3">
      <c r="B342" s="76">
        <v>44584</v>
      </c>
      <c r="C342" s="77">
        <v>1648529</v>
      </c>
      <c r="D342" s="77">
        <v>838116</v>
      </c>
      <c r="E342" s="77">
        <v>2136584</v>
      </c>
      <c r="F342" s="77">
        <v>1991328</v>
      </c>
      <c r="G342" s="81">
        <f t="shared" si="22"/>
        <v>0.96694610292608663</v>
      </c>
      <c r="H342" s="81">
        <f t="shared" si="23"/>
        <v>-0.60773084512474118</v>
      </c>
      <c r="I342" s="81">
        <f t="shared" si="24"/>
        <v>7.2944286425942861E-2</v>
      </c>
      <c r="J342" s="81"/>
      <c r="K342" s="81"/>
      <c r="L342" s="81"/>
      <c r="M342" s="81"/>
      <c r="N342" s="81"/>
    </row>
    <row r="343" spans="2:14" ht="15.75" thickBot="1" x14ac:dyDescent="0.3">
      <c r="B343" s="76">
        <v>44583</v>
      </c>
      <c r="C343" s="77">
        <v>1241792</v>
      </c>
      <c r="D343" s="77">
        <v>603527</v>
      </c>
      <c r="E343" s="77">
        <v>1645196</v>
      </c>
      <c r="F343" s="77">
        <v>1763884</v>
      </c>
      <c r="G343" s="81">
        <f t="shared" si="22"/>
        <v>1.0575583196774958</v>
      </c>
      <c r="H343" s="81">
        <f t="shared" si="23"/>
        <v>-0.63315799454897781</v>
      </c>
      <c r="I343" s="81">
        <f t="shared" si="24"/>
        <v>-6.7287871538037614E-2</v>
      </c>
      <c r="J343" s="81"/>
      <c r="K343" s="81"/>
      <c r="L343" s="81"/>
      <c r="M343" s="81"/>
      <c r="N343" s="81"/>
    </row>
    <row r="344" spans="2:14" ht="15.75" thickBot="1" x14ac:dyDescent="0.3">
      <c r="B344" s="76">
        <v>44582</v>
      </c>
      <c r="C344" s="77">
        <v>1514369</v>
      </c>
      <c r="D344" s="77">
        <v>755028</v>
      </c>
      <c r="E344" s="77">
        <v>2145063</v>
      </c>
      <c r="F344" s="77">
        <v>1804629</v>
      </c>
      <c r="G344" s="81">
        <f t="shared" si="22"/>
        <v>1.0057123709319389</v>
      </c>
      <c r="H344" s="81">
        <f t="shared" si="23"/>
        <v>-0.64801593239918831</v>
      </c>
      <c r="I344" s="81">
        <f t="shared" si="24"/>
        <v>0.18864486828040561</v>
      </c>
      <c r="J344" s="81"/>
      <c r="K344" s="81"/>
      <c r="L344" s="81"/>
      <c r="M344" s="81"/>
      <c r="N344" s="81"/>
    </row>
    <row r="345" spans="2:14" ht="15.75" thickBot="1" x14ac:dyDescent="0.3">
      <c r="B345" s="76">
        <v>44581</v>
      </c>
      <c r="C345" s="77">
        <v>1471161</v>
      </c>
      <c r="D345" s="77">
        <v>728978</v>
      </c>
      <c r="E345" s="77">
        <v>2100401</v>
      </c>
      <c r="F345" s="77">
        <v>2179066</v>
      </c>
      <c r="G345" s="81">
        <f t="shared" si="22"/>
        <v>1.0181144012576513</v>
      </c>
      <c r="H345" s="81">
        <f t="shared" si="23"/>
        <v>-0.65293389214726139</v>
      </c>
      <c r="I345" s="81">
        <f t="shared" si="24"/>
        <v>-3.6100329223621497E-2</v>
      </c>
      <c r="J345" s="81"/>
      <c r="K345" s="81"/>
      <c r="L345" s="81"/>
      <c r="M345" s="81"/>
      <c r="N345" s="81"/>
    </row>
    <row r="346" spans="2:14" ht="15.75" thickBot="1" x14ac:dyDescent="0.3">
      <c r="B346" s="76">
        <v>44580</v>
      </c>
      <c r="C346" s="77">
        <v>1201583</v>
      </c>
      <c r="D346" s="77">
        <v>542338</v>
      </c>
      <c r="E346" s="77">
        <v>1801444</v>
      </c>
      <c r="F346" s="77">
        <v>1776235</v>
      </c>
      <c r="G346" s="81">
        <f t="shared" si="22"/>
        <v>1.2155611445261072</v>
      </c>
      <c r="H346" s="81">
        <f t="shared" si="23"/>
        <v>-0.69894262602667645</v>
      </c>
      <c r="I346" s="81">
        <f t="shared" si="24"/>
        <v>1.4192378823747909E-2</v>
      </c>
      <c r="J346" s="81"/>
      <c r="K346" s="81"/>
      <c r="L346" s="81"/>
      <c r="M346" s="81"/>
      <c r="N346" s="81"/>
    </row>
    <row r="347" spans="2:14" ht="15.75" thickBot="1" x14ac:dyDescent="0.3">
      <c r="B347" s="76">
        <v>44579</v>
      </c>
      <c r="C347" s="77">
        <v>1301462</v>
      </c>
      <c r="D347" s="77">
        <v>560190</v>
      </c>
      <c r="E347" s="77">
        <v>1870459</v>
      </c>
      <c r="F347" s="77">
        <v>1600698</v>
      </c>
      <c r="G347" s="81">
        <f t="shared" si="22"/>
        <v>1.3232510398257733</v>
      </c>
      <c r="H347" s="81">
        <f t="shared" si="23"/>
        <v>-0.70050666708011244</v>
      </c>
      <c r="I347" s="81">
        <f t="shared" si="24"/>
        <v>0.16852710505042179</v>
      </c>
      <c r="J347" s="81"/>
      <c r="K347" s="81"/>
      <c r="L347" s="81"/>
      <c r="M347" s="81"/>
      <c r="N347" s="81"/>
    </row>
    <row r="348" spans="2:14" ht="15.75" thickBot="1" x14ac:dyDescent="0.3">
      <c r="B348" s="76">
        <v>44578</v>
      </c>
      <c r="C348" s="77">
        <v>1699242</v>
      </c>
      <c r="D348" s="77">
        <v>878048</v>
      </c>
      <c r="E348" s="77">
        <v>2298616</v>
      </c>
      <c r="F348" s="77">
        <v>2271398</v>
      </c>
      <c r="G348" s="81">
        <f t="shared" si="22"/>
        <v>0.93524955355515882</v>
      </c>
      <c r="H348" s="81">
        <f t="shared" si="23"/>
        <v>-0.61801014175486468</v>
      </c>
      <c r="I348" s="81">
        <f t="shared" si="24"/>
        <v>1.1982928575265062E-2</v>
      </c>
      <c r="J348" s="81"/>
      <c r="K348" s="81"/>
      <c r="L348" s="81"/>
      <c r="M348" s="81"/>
      <c r="N348" s="81"/>
    </row>
    <row r="349" spans="2:14" ht="15.75" thickBot="1" x14ac:dyDescent="0.3">
      <c r="B349" s="76">
        <v>44577</v>
      </c>
      <c r="C349" s="77">
        <v>1379403</v>
      </c>
      <c r="D349" s="77">
        <v>810654</v>
      </c>
      <c r="E349" s="77">
        <v>2000260</v>
      </c>
      <c r="F349" s="77">
        <v>2139242</v>
      </c>
      <c r="G349" s="81">
        <f t="shared" si="22"/>
        <v>0.70159278804520797</v>
      </c>
      <c r="H349" s="81">
        <f t="shared" si="23"/>
        <v>-0.59472568566086403</v>
      </c>
      <c r="I349" s="81">
        <f t="shared" si="24"/>
        <v>-6.4967871797580679E-2</v>
      </c>
      <c r="J349" s="81"/>
      <c r="K349" s="81"/>
      <c r="L349" s="81"/>
      <c r="M349" s="81"/>
      <c r="N349" s="81"/>
    </row>
    <row r="350" spans="2:14" ht="15.75" thickBot="1" x14ac:dyDescent="0.3">
      <c r="B350" s="76">
        <v>44576</v>
      </c>
      <c r="C350" s="77">
        <v>1403734</v>
      </c>
      <c r="D350" s="77">
        <v>690438</v>
      </c>
      <c r="E350" s="77">
        <v>1781893</v>
      </c>
      <c r="F350" s="77">
        <v>1786012</v>
      </c>
      <c r="G350" s="81">
        <f t="shared" si="22"/>
        <v>1.033106520788253</v>
      </c>
      <c r="H350" s="81">
        <f t="shared" si="23"/>
        <v>-0.61252555568712608</v>
      </c>
      <c r="I350" s="81">
        <f t="shared" si="24"/>
        <v>-2.3062555010828767E-3</v>
      </c>
      <c r="J350" s="81"/>
      <c r="K350" s="81"/>
      <c r="L350" s="81"/>
      <c r="M350" s="81"/>
      <c r="N350" s="81"/>
    </row>
    <row r="351" spans="2:14" ht="15.75" thickBot="1" x14ac:dyDescent="0.3">
      <c r="B351" s="76">
        <v>44575</v>
      </c>
      <c r="C351" s="77">
        <v>1728383</v>
      </c>
      <c r="D351" s="77">
        <v>903039</v>
      </c>
      <c r="E351" s="77">
        <v>2347075</v>
      </c>
      <c r="F351" s="77">
        <v>1605758</v>
      </c>
      <c r="G351" s="81">
        <f t="shared" si="22"/>
        <v>0.91396274136554467</v>
      </c>
      <c r="H351" s="81">
        <f t="shared" si="23"/>
        <v>-0.61524919314465876</v>
      </c>
      <c r="I351" s="81">
        <f t="shared" si="24"/>
        <v>0.46166171988556193</v>
      </c>
      <c r="J351" s="81"/>
      <c r="K351" s="81"/>
      <c r="L351" s="81"/>
      <c r="M351" s="81"/>
      <c r="N351" s="81"/>
    </row>
    <row r="352" spans="2:14" ht="15.75" thickBot="1" x14ac:dyDescent="0.3">
      <c r="B352" s="76">
        <v>44574</v>
      </c>
      <c r="C352" s="77">
        <v>1541835</v>
      </c>
      <c r="D352" s="77">
        <v>803688</v>
      </c>
      <c r="E352" s="77">
        <v>2242656</v>
      </c>
      <c r="F352" s="77">
        <v>1886642</v>
      </c>
      <c r="G352" s="81">
        <f t="shared" si="22"/>
        <v>0.91844969689730349</v>
      </c>
      <c r="H352" s="81">
        <f t="shared" si="23"/>
        <v>-0.64163563203629981</v>
      </c>
      <c r="I352" s="81">
        <f t="shared" si="24"/>
        <v>0.18870246713472927</v>
      </c>
      <c r="J352" s="81"/>
      <c r="K352" s="81"/>
      <c r="L352" s="81"/>
      <c r="M352" s="81"/>
      <c r="N352" s="81"/>
    </row>
    <row r="353" spans="2:14" ht="15.75" thickBot="1" x14ac:dyDescent="0.3">
      <c r="B353" s="76">
        <v>44573</v>
      </c>
      <c r="C353" s="77">
        <v>1231419</v>
      </c>
      <c r="D353" s="77">
        <v>567401</v>
      </c>
      <c r="E353" s="77">
        <v>1876782</v>
      </c>
      <c r="F353" s="77">
        <v>1970450</v>
      </c>
      <c r="G353" s="81">
        <f t="shared" si="22"/>
        <v>1.1702799254847984</v>
      </c>
      <c r="H353" s="81">
        <f t="shared" si="23"/>
        <v>-0.69767346447269851</v>
      </c>
      <c r="I353" s="81">
        <f t="shared" si="24"/>
        <v>-4.7536349564820224E-2</v>
      </c>
      <c r="J353" s="81"/>
      <c r="K353" s="81"/>
      <c r="L353" s="81"/>
      <c r="M353" s="81"/>
      <c r="N353" s="81"/>
    </row>
    <row r="354" spans="2:14" ht="15.75" thickBot="1" x14ac:dyDescent="0.3">
      <c r="B354" s="76">
        <v>44572</v>
      </c>
      <c r="C354" s="77">
        <v>1125952</v>
      </c>
      <c r="D354" s="77">
        <v>520117</v>
      </c>
      <c r="E354" s="77">
        <v>1691205</v>
      </c>
      <c r="F354" s="77">
        <v>1604862</v>
      </c>
      <c r="G354" s="81">
        <f t="shared" si="22"/>
        <v>1.1648052265163416</v>
      </c>
      <c r="H354" s="81">
        <f t="shared" si="23"/>
        <v>-0.69245774462587328</v>
      </c>
      <c r="I354" s="81">
        <f t="shared" si="24"/>
        <v>5.380088755294854E-2</v>
      </c>
      <c r="J354" s="81"/>
      <c r="K354" s="81"/>
      <c r="L354" s="81"/>
      <c r="M354" s="81"/>
      <c r="N354" s="81"/>
    </row>
    <row r="355" spans="2:14" ht="15.75" thickBot="1" x14ac:dyDescent="0.3">
      <c r="B355" s="76">
        <v>44571</v>
      </c>
      <c r="C355" s="77">
        <v>1449550</v>
      </c>
      <c r="D355" s="77">
        <v>708177</v>
      </c>
      <c r="E355" s="77">
        <v>1992453</v>
      </c>
      <c r="F355" s="77">
        <v>1959788</v>
      </c>
      <c r="G355" s="81">
        <f t="shared" si="22"/>
        <v>1.0468752868280107</v>
      </c>
      <c r="H355" s="81">
        <f t="shared" si="23"/>
        <v>-0.64457028597412336</v>
      </c>
      <c r="I355" s="81">
        <f t="shared" si="24"/>
        <v>1.6667619150642743E-2</v>
      </c>
      <c r="J355" s="81"/>
      <c r="K355" s="81"/>
      <c r="L355" s="81"/>
      <c r="M355" s="81"/>
      <c r="N355" s="81"/>
    </row>
    <row r="356" spans="2:14" ht="15.75" thickBot="1" x14ac:dyDescent="0.3">
      <c r="B356" s="76">
        <v>44570</v>
      </c>
      <c r="C356" s="77">
        <v>1693518</v>
      </c>
      <c r="D356" s="77">
        <v>886536</v>
      </c>
      <c r="E356" s="77">
        <v>2183734</v>
      </c>
      <c r="F356" s="77">
        <v>1955200</v>
      </c>
      <c r="G356" s="81">
        <f t="shared" si="22"/>
        <v>0.91026421938872204</v>
      </c>
      <c r="H356" s="81">
        <f t="shared" si="23"/>
        <v>-0.59402747770561803</v>
      </c>
      <c r="I356" s="81">
        <f t="shared" si="24"/>
        <v>0.11688522913256949</v>
      </c>
      <c r="J356" s="81"/>
      <c r="K356" s="81"/>
      <c r="L356" s="81"/>
      <c r="M356" s="81"/>
      <c r="N356" s="81"/>
    </row>
    <row r="357" spans="2:14" ht="15.75" thickBot="1" x14ac:dyDescent="0.3">
      <c r="B357" s="76">
        <v>44569</v>
      </c>
      <c r="C357" s="77">
        <v>1449698</v>
      </c>
      <c r="D357" s="77">
        <v>709444</v>
      </c>
      <c r="E357" s="77">
        <v>1687974</v>
      </c>
      <c r="F357" s="77">
        <v>1739642</v>
      </c>
      <c r="G357" s="81">
        <f t="shared" si="22"/>
        <v>1.0434283748963979</v>
      </c>
      <c r="H357" s="81">
        <f t="shared" si="23"/>
        <v>-0.57970679643169865</v>
      </c>
      <c r="I357" s="81">
        <f t="shared" si="24"/>
        <v>-2.9700363638035854E-2</v>
      </c>
      <c r="J357" s="81"/>
      <c r="K357" s="81"/>
      <c r="L357" s="81"/>
      <c r="M357" s="81"/>
      <c r="N357" s="81"/>
    </row>
    <row r="358" spans="2:14" ht="15.75" thickBot="1" x14ac:dyDescent="0.3">
      <c r="B358" s="76">
        <v>44568</v>
      </c>
      <c r="C358" s="77">
        <v>1502714</v>
      </c>
      <c r="D358" s="77">
        <v>772471</v>
      </c>
      <c r="E358" s="77">
        <v>2072543</v>
      </c>
      <c r="F358" s="77">
        <v>1733739</v>
      </c>
      <c r="G358" s="81">
        <f t="shared" si="22"/>
        <v>0.94533387013881431</v>
      </c>
      <c r="H358" s="81">
        <f t="shared" si="23"/>
        <v>-0.62728348700123471</v>
      </c>
      <c r="I358" s="81">
        <f t="shared" si="24"/>
        <v>0.19541811079983784</v>
      </c>
      <c r="J358" s="81"/>
      <c r="K358" s="81"/>
      <c r="L358" s="81"/>
      <c r="M358" s="81"/>
      <c r="N358" s="81"/>
    </row>
    <row r="359" spans="2:14" ht="15.75" thickBot="1" x14ac:dyDescent="0.3">
      <c r="B359" s="76">
        <v>44567</v>
      </c>
      <c r="C359" s="77">
        <v>1533544</v>
      </c>
      <c r="D359" s="77">
        <v>771734</v>
      </c>
      <c r="E359" s="77">
        <v>2034472</v>
      </c>
      <c r="F359" s="77">
        <v>2044043</v>
      </c>
      <c r="G359" s="81">
        <f t="shared" si="22"/>
        <v>0.98714064690683578</v>
      </c>
      <c r="H359" s="81">
        <f t="shared" si="23"/>
        <v>-0.62067111270147735</v>
      </c>
      <c r="I359" s="81">
        <f t="shared" si="24"/>
        <v>-4.6823868186726125E-3</v>
      </c>
      <c r="J359" s="81"/>
      <c r="K359" s="81"/>
      <c r="L359" s="81"/>
      <c r="M359" s="81"/>
      <c r="N359" s="81"/>
    </row>
    <row r="360" spans="2:14" ht="15.75" thickBot="1" x14ac:dyDescent="0.3">
      <c r="B360" s="76">
        <v>44566</v>
      </c>
      <c r="C360" s="77">
        <v>1493235</v>
      </c>
      <c r="D360" s="77">
        <v>665855</v>
      </c>
      <c r="E360" s="77">
        <v>1815040</v>
      </c>
      <c r="F360" s="77">
        <v>2229391</v>
      </c>
      <c r="G360" s="81">
        <f t="shared" si="22"/>
        <v>1.2425828446133167</v>
      </c>
      <c r="H360" s="81">
        <f t="shared" si="23"/>
        <v>-0.63314582598730607</v>
      </c>
      <c r="I360" s="81">
        <f t="shared" si="24"/>
        <v>-0.18585838015852763</v>
      </c>
      <c r="J360" s="81"/>
      <c r="K360" s="81"/>
      <c r="L360" s="81"/>
      <c r="M360" s="81"/>
      <c r="N360" s="81"/>
    </row>
    <row r="361" spans="2:14" ht="15.75" thickBot="1" x14ac:dyDescent="0.3">
      <c r="B361" s="76">
        <v>44565</v>
      </c>
      <c r="C361" s="77">
        <v>1666715</v>
      </c>
      <c r="D361" s="77">
        <v>766594</v>
      </c>
      <c r="E361" s="77">
        <v>1806480</v>
      </c>
      <c r="F361" s="77">
        <v>1975947</v>
      </c>
      <c r="G361" s="81">
        <f t="shared" si="22"/>
        <v>1.174182161613579</v>
      </c>
      <c r="H361" s="81">
        <f t="shared" si="23"/>
        <v>-0.57564213276648513</v>
      </c>
      <c r="I361" s="81">
        <f t="shared" si="24"/>
        <v>-8.5764952197604494E-2</v>
      </c>
      <c r="J361" s="81"/>
      <c r="K361" s="81"/>
      <c r="L361" s="81"/>
      <c r="M361" s="81"/>
      <c r="N361" s="81"/>
    </row>
    <row r="362" spans="2:14" ht="15.75" thickBot="1" x14ac:dyDescent="0.3">
      <c r="B362" s="76">
        <v>44564</v>
      </c>
      <c r="C362" s="77">
        <v>1916499</v>
      </c>
      <c r="D362" s="77">
        <v>1080346</v>
      </c>
      <c r="E362" s="77">
        <v>2210542</v>
      </c>
      <c r="F362" s="77">
        <v>2150571</v>
      </c>
      <c r="G362" s="81">
        <f t="shared" si="22"/>
        <v>0.77396778439499947</v>
      </c>
      <c r="H362" s="81">
        <f t="shared" si="23"/>
        <v>-0.51127551523562997</v>
      </c>
      <c r="I362" s="81">
        <f t="shared" si="24"/>
        <v>2.7886082347432284E-2</v>
      </c>
      <c r="J362" s="81"/>
      <c r="K362" s="81"/>
      <c r="L362" s="81"/>
      <c r="M362" s="81"/>
      <c r="N362" s="81"/>
    </row>
    <row r="363" spans="2:14" ht="15.75" thickBot="1" x14ac:dyDescent="0.3">
      <c r="B363" s="76">
        <v>44563</v>
      </c>
      <c r="C363" s="77">
        <v>2023309</v>
      </c>
      <c r="D363" s="77">
        <v>1327289</v>
      </c>
      <c r="E363" s="77">
        <v>2422272</v>
      </c>
      <c r="F363" s="77">
        <v>2202111</v>
      </c>
      <c r="G363" s="81">
        <f t="shared" si="22"/>
        <v>0.52439220094493355</v>
      </c>
      <c r="H363" s="81">
        <f t="shared" si="23"/>
        <v>-0.45204791204290851</v>
      </c>
      <c r="I363" s="81">
        <f t="shared" si="24"/>
        <v>9.9977249103246901E-2</v>
      </c>
      <c r="J363" s="81"/>
      <c r="K363" s="81"/>
      <c r="L363" s="81"/>
      <c r="M363" s="81"/>
      <c r="N363" s="81"/>
    </row>
    <row r="364" spans="2:14" ht="15.75" thickBot="1" x14ac:dyDescent="0.3">
      <c r="B364" s="76">
        <v>44562</v>
      </c>
      <c r="C364" s="77">
        <v>1616316</v>
      </c>
      <c r="D364" s="77">
        <v>1192881</v>
      </c>
      <c r="E364" s="77">
        <v>2178656</v>
      </c>
      <c r="F364" s="77">
        <v>2345103</v>
      </c>
      <c r="G364" s="81">
        <f t="shared" si="22"/>
        <v>0.35496834973480174</v>
      </c>
      <c r="H364" s="81">
        <f t="shared" si="23"/>
        <v>-0.45246932053522904</v>
      </c>
      <c r="I364" s="81">
        <f t="shared" si="24"/>
        <v>-7.0976413402737526E-2</v>
      </c>
      <c r="J364" s="81"/>
      <c r="K364" s="81"/>
      <c r="L364" s="81"/>
      <c r="M364" s="81"/>
      <c r="N364" s="81"/>
    </row>
    <row r="365" spans="2:14" ht="15.75" thickBot="1" x14ac:dyDescent="0.3">
      <c r="B365" s="76">
        <v>44561</v>
      </c>
      <c r="C365" s="78"/>
      <c r="D365" s="77">
        <v>1650795</v>
      </c>
      <c r="E365" s="77">
        <v>805990</v>
      </c>
      <c r="F365" s="77">
        <v>2311732</v>
      </c>
      <c r="G365" s="81">
        <f t="shared" si="22"/>
        <v>-1</v>
      </c>
      <c r="H365" s="81">
        <f t="shared" si="23"/>
        <v>1.0481581657340664</v>
      </c>
      <c r="I365" s="81">
        <f t="shared" si="24"/>
        <v>-0.65134799362555862</v>
      </c>
      <c r="J365" s="81"/>
      <c r="K365" s="81"/>
      <c r="L365" s="81"/>
      <c r="M365" s="81"/>
      <c r="N365" s="81"/>
    </row>
    <row r="366" spans="2:14" ht="15.75" thickBot="1" x14ac:dyDescent="0.3">
      <c r="B366" s="76">
        <v>44560</v>
      </c>
      <c r="C366" s="78"/>
      <c r="D366" s="77">
        <v>2049604</v>
      </c>
      <c r="E366" s="77">
        <v>874406</v>
      </c>
      <c r="F366" s="77">
        <v>2392331</v>
      </c>
      <c r="G366" s="81">
        <f t="shared" si="22"/>
        <v>-1</v>
      </c>
      <c r="H366" s="81">
        <f t="shared" si="23"/>
        <v>1.3439958097268319</v>
      </c>
      <c r="I366" s="81">
        <f t="shared" si="24"/>
        <v>-0.63449622982772869</v>
      </c>
      <c r="J366" s="81"/>
      <c r="K366" s="81"/>
      <c r="L366" s="81"/>
      <c r="M366" s="81"/>
      <c r="N366" s="8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Revenue Build</vt:lpstr>
      <vt:lpstr>FS</vt:lpstr>
      <vt:lpstr>DCF</vt:lpstr>
      <vt:lpstr>TSA Flight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Jasper Chang</dc:creator>
  <cp:lastModifiedBy>Jasper Chang</cp:lastModifiedBy>
  <cp:lastPrinted>2022-12-25T22:54:13Z</cp:lastPrinted>
  <dcterms:created xsi:type="dcterms:W3CDTF">2022-12-20T20:43:25Z</dcterms:created>
  <dcterms:modified xsi:type="dcterms:W3CDTF">2023-02-14T22:35:05Z</dcterms:modified>
</cp:coreProperties>
</file>